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364"/>
  </bookViews>
  <sheets>
    <sheet name="Simple Gatherings" sheetId="1" r:id="rId1"/>
    <sheet name="Rentals" sheetId="2" state="hidden" r:id="rId2"/>
    <sheet name="Data" sheetId="3" state="hidden" r:id="rId3"/>
  </sheets>
  <definedNames>
    <definedName name="______xlnm.Print_Titles">'Simple Gatherings'!$7:$7</definedName>
    <definedName name="_____xlnm.Print_Titles">'Simple Gatherings'!$7:$7</definedName>
    <definedName name="____xlnm.Print_Titles">'Simple Gatherings'!$7:$7</definedName>
    <definedName name="___xlnm.Print_Titles">'Simple Gatherings'!$7:$7</definedName>
    <definedName name="__xlnm.Print_Titles">'Simple Gatherings'!$7:$7</definedName>
    <definedName name="_Max1">Data!$F$33:$F$34</definedName>
    <definedName name="_Max2">Data!$F$37:$F$42</definedName>
    <definedName name="_Max3">Data!$F$46:$F$49</definedName>
    <definedName name="_Max4">Data!$F$52:$F$56</definedName>
    <definedName name="AdditionalChoices">Data!$B$19:$B$22</definedName>
    <definedName name="Appetizer_Prices">Data!$D$41:$D$45</definedName>
    <definedName name="Appetizers">Data!$B$41:$B$45</definedName>
    <definedName name="Choc_Fountain">Data!$B$7:$B$8</definedName>
    <definedName name="Day_or_Evening">Data!$F$20:$F$21</definedName>
    <definedName name="Desert_Option">Data!$B$48:$B$52</definedName>
    <definedName name="Excel_BuiltIn_Print_Titles_1">'Simple Gatherings'!$A$7:$ID$7</definedName>
    <definedName name="Excel_BuiltIn_Print_Titles_1_1">'Simple Gatherings'!$A$7:$IB$7</definedName>
    <definedName name="Fire_Pit">Data!$B$54:$B$55</definedName>
    <definedName name="Length_of_Event">Data!$F$2:$F$6</definedName>
    <definedName name="Length_of_Event_1">Data!$F$2:$F$6</definedName>
    <definedName name="Length_of_Event_2">Data!$F$2:$F$6</definedName>
    <definedName name="Meal_Options">Data!$B$29:$B$38</definedName>
    <definedName name="Meal_Options_1">Data!$B$29:$B$38</definedName>
    <definedName name="Meal_Prices">Data!$D$29:$D$38</definedName>
    <definedName name="Payment_Type">Data!$B$11:$B$12</definedName>
    <definedName name="_xlnm.Print_Area" localSheetId="0">'Simple Gatherings'!$A$1:$D$75</definedName>
    <definedName name="_xlnm.Print_Titles" localSheetId="0">'Simple Gatherings'!$7:$7</definedName>
    <definedName name="SplitDay">Data!$B$15:$B$16</definedName>
    <definedName name="Tents">Data!$F$25:$F$28</definedName>
    <definedName name="TimeofDay">Data!$B$2:$B$4</definedName>
    <definedName name="Type_of_Event">Data!$F$13:$F$16</definedName>
    <definedName name="Yes_No">Data!$F$9:$F$10</definedName>
  </definedNames>
  <calcPr calcId="145621" iterateDelta="1E-4"/>
</workbook>
</file>

<file path=xl/calcChain.xml><?xml version="1.0" encoding="utf-8"?>
<calcChain xmlns="http://schemas.openxmlformats.org/spreadsheetml/2006/main">
  <c r="C45" i="1" l="1"/>
  <c r="C49" i="1" l="1"/>
  <c r="B49" i="1"/>
  <c r="D49" i="1" s="1"/>
  <c r="B45" i="1"/>
  <c r="B44" i="1"/>
  <c r="D25" i="1"/>
  <c r="C25" i="1"/>
  <c r="C29" i="3"/>
  <c r="C31" i="3"/>
  <c r="C32" i="3"/>
  <c r="C34" i="3"/>
  <c r="C35" i="3"/>
  <c r="C36" i="3"/>
  <c r="C38" i="3"/>
  <c r="C41" i="3"/>
  <c r="C42" i="3"/>
  <c r="D10" i="2"/>
  <c r="E13" i="2"/>
  <c r="E14" i="2"/>
  <c r="E15" i="2"/>
  <c r="D16" i="2"/>
  <c r="E16" i="2" s="1"/>
  <c r="E17" i="2"/>
  <c r="D18" i="2"/>
  <c r="E18" i="2" s="1"/>
  <c r="E20" i="2"/>
  <c r="E22" i="2"/>
  <c r="E23" i="2"/>
  <c r="E24" i="2"/>
  <c r="E25" i="2"/>
  <c r="E26" i="2"/>
  <c r="E27" i="2"/>
  <c r="E28" i="2"/>
  <c r="E30" i="2"/>
  <c r="E31" i="2"/>
  <c r="E32" i="2"/>
  <c r="E33" i="2"/>
  <c r="E34" i="2"/>
  <c r="E35" i="2"/>
  <c r="E36" i="2"/>
  <c r="E37" i="2"/>
  <c r="E38" i="2"/>
  <c r="E40" i="2"/>
  <c r="E41" i="2"/>
  <c r="E42" i="2"/>
  <c r="E43" i="2"/>
  <c r="E44" i="2"/>
  <c r="E45" i="2"/>
  <c r="E46" i="2"/>
  <c r="E49" i="2"/>
  <c r="E50" i="2"/>
  <c r="E52" i="2"/>
  <c r="E53" i="2"/>
  <c r="E54" i="2"/>
  <c r="E55" i="2"/>
  <c r="E56" i="2"/>
  <c r="E57" i="2"/>
  <c r="E58" i="2"/>
  <c r="E59" i="2"/>
  <c r="E60" i="2"/>
  <c r="E61" i="2"/>
  <c r="E63" i="2"/>
  <c r="E64" i="2"/>
  <c r="E65" i="2"/>
  <c r="A10" i="1"/>
  <c r="C10" i="1"/>
  <c r="C11" i="1"/>
  <c r="D11" i="1"/>
  <c r="A14" i="1"/>
  <c r="D15" i="1"/>
  <c r="B18" i="1"/>
  <c r="D18" i="1"/>
  <c r="D20" i="1"/>
  <c r="B21" i="1"/>
  <c r="B19" i="1"/>
  <c r="D22" i="1"/>
  <c r="B23" i="1"/>
  <c r="D23" i="1" s="1"/>
  <c r="D19" i="1" s="1"/>
  <c r="D24" i="1"/>
  <c r="D26" i="1"/>
  <c r="D27" i="1"/>
  <c r="D28" i="1"/>
  <c r="A34" i="1"/>
  <c r="D34" i="1"/>
  <c r="A35" i="1"/>
  <c r="D35" i="1"/>
  <c r="D36" i="1"/>
  <c r="D37" i="1"/>
  <c r="C38" i="1"/>
  <c r="D38" i="1"/>
  <c r="D39" i="1"/>
  <c r="D40" i="1"/>
  <c r="D41" i="1"/>
  <c r="C44" i="1"/>
  <c r="D44" i="1"/>
  <c r="B46" i="1"/>
  <c r="D46" i="1"/>
  <c r="C46" i="1"/>
  <c r="B47" i="1"/>
  <c r="D47" i="1" s="1"/>
  <c r="C47" i="1"/>
  <c r="B48" i="1"/>
  <c r="D48" i="1"/>
  <c r="C48" i="1"/>
  <c r="B51" i="1"/>
  <c r="D51" i="1" s="1"/>
  <c r="C51" i="1"/>
  <c r="A65" i="1"/>
  <c r="D66" i="1"/>
  <c r="A68" i="1"/>
  <c r="A69" i="1"/>
  <c r="A70" i="1"/>
  <c r="B70" i="1"/>
  <c r="A71" i="1"/>
  <c r="B71" i="1"/>
  <c r="A73" i="1"/>
  <c r="B73" i="1"/>
  <c r="D73" i="1"/>
  <c r="B12" i="1"/>
  <c r="D32" i="1"/>
  <c r="D21" i="1"/>
  <c r="B10" i="1"/>
  <c r="D10" i="1"/>
  <c r="E67" i="2" l="1"/>
  <c r="D45" i="1"/>
  <c r="D52" i="1" s="1"/>
  <c r="D33" i="1" s="1"/>
  <c r="D42" i="1" s="1"/>
  <c r="D16" i="1"/>
  <c r="D63" i="1" s="1"/>
  <c r="E68" i="2" l="1"/>
  <c r="E69" i="2"/>
  <c r="D29" i="1"/>
  <c r="D30" i="1" s="1"/>
  <c r="D54" i="1" s="1"/>
  <c r="D55" i="1"/>
  <c r="D56" i="1" l="1"/>
  <c r="D58" i="1" s="1"/>
  <c r="A59" i="1" s="1"/>
  <c r="D59" i="1" s="1"/>
  <c r="D60" i="1" s="1"/>
  <c r="D64" i="1" s="1"/>
  <c r="D69" i="1" s="1"/>
  <c r="D71" i="1" l="1"/>
  <c r="D70" i="1"/>
  <c r="D72" i="1" s="1"/>
  <c r="B72" i="1" l="1"/>
  <c r="A72" i="1"/>
</calcChain>
</file>

<file path=xl/sharedStrings.xml><?xml version="1.0" encoding="utf-8"?>
<sst xmlns="http://schemas.openxmlformats.org/spreadsheetml/2006/main" count="213" uniqueCount="179">
  <si>
    <t xml:space="preserve">Name </t>
  </si>
  <si>
    <t>Time of Day</t>
  </si>
  <si>
    <t>Evening</t>
  </si>
  <si>
    <t>Number of Guests</t>
  </si>
  <si>
    <t xml:space="preserve">  Business Meeting</t>
  </si>
  <si>
    <t>Type of Event</t>
  </si>
  <si>
    <t>Wedding &amp; Reception</t>
  </si>
  <si>
    <t>4 Hrs</t>
  </si>
  <si>
    <t>House Sub-Total</t>
  </si>
  <si>
    <t>RENTAL ITEMS</t>
  </si>
  <si>
    <t xml:space="preserve">  Cake Platforms</t>
  </si>
  <si>
    <t>$30 each</t>
  </si>
  <si>
    <t>Linens (Includes Tables, chairs, linens, and dinnerware)</t>
  </si>
  <si>
    <t xml:space="preserve">  Table skirts for 6 ft rectangular tables</t>
  </si>
  <si>
    <t>$20.00 each</t>
  </si>
  <si>
    <t xml:space="preserve">  Table cloths for 6 ft rectangular tables</t>
  </si>
  <si>
    <t>$22.50 each</t>
  </si>
  <si>
    <t xml:space="preserve">  Table cloths for 42 inch round glass tables</t>
  </si>
  <si>
    <t>$14.50 each</t>
  </si>
  <si>
    <t xml:space="preserve">  Table cloths for 60 inch round tables</t>
  </si>
  <si>
    <t>$24 each</t>
  </si>
  <si>
    <t>White Wedding Chairs - Setup and breakdown for Wedding included in rental</t>
  </si>
  <si>
    <t>Yes</t>
  </si>
  <si>
    <t>$3 each</t>
  </si>
  <si>
    <t xml:space="preserve">  Tent 20 x 30 (high peak tent – sides available)</t>
  </si>
  <si>
    <t>None</t>
  </si>
  <si>
    <t>Tent 20 x 30 floor (Wooden floor with carpet) $0.66 per sq ft</t>
  </si>
  <si>
    <t>$400 each</t>
  </si>
  <si>
    <t xml:space="preserve">  Tent 10 x 20 (frame tent)</t>
  </si>
  <si>
    <t>$145 each</t>
  </si>
  <si>
    <t>Heaters</t>
  </si>
  <si>
    <t xml:space="preserve">  Other rental items: (See Attachment)</t>
  </si>
  <si>
    <t>Rentals Sub-Total</t>
  </si>
  <si>
    <t>SERVICES</t>
  </si>
  <si>
    <t>Event Site Coordinator Fee</t>
  </si>
  <si>
    <t xml:space="preserve">  </t>
  </si>
  <si>
    <t>Server Fee</t>
  </si>
  <si>
    <t>Beer and Wine Station Setup – includes ice and glasses</t>
  </si>
  <si>
    <t>$3.75/Guest</t>
  </si>
  <si>
    <t>Champagne Glass Flutes - set up for guests on separate table</t>
  </si>
  <si>
    <t>No</t>
  </si>
  <si>
    <t>$1.20/Guest</t>
  </si>
  <si>
    <t>Fire Pit Prep &amp; SMORES</t>
  </si>
  <si>
    <t>Event Planner (20 Hours)</t>
  </si>
  <si>
    <t>Additional Event Planner/Hour(s)</t>
  </si>
  <si>
    <t xml:space="preserve">Other </t>
  </si>
  <si>
    <t>Services Sub-Total</t>
  </si>
  <si>
    <t>FOOD:  All Meals include Sweet Tea, Water &amp; Lemonade</t>
  </si>
  <si>
    <t>Count</t>
  </si>
  <si>
    <t>Price/Guest</t>
  </si>
  <si>
    <t>Dinner Appetizers:  Cheese &amp; Crackers, Seasonal Fruit &amp; Bruchetta</t>
  </si>
  <si>
    <t>No Appetizers</t>
  </si>
  <si>
    <t>No Meal</t>
  </si>
  <si>
    <t>Coffee/Desert/Chocolate Fountains/PopCorn</t>
  </si>
  <si>
    <t>Food Sub-Total</t>
  </si>
  <si>
    <t>TAX &amp; GRATUITY</t>
  </si>
  <si>
    <t xml:space="preserve">  Tax  ( house, food and rentals)</t>
  </si>
  <si>
    <t xml:space="preserve">  Gratuity (Minus Server Fee)</t>
  </si>
  <si>
    <t>Tax &amp; Gratuity Sub-Total</t>
  </si>
  <si>
    <t>TOTAL (FOOD,SERVICE,RENTAL, TAX, GRATUITY)</t>
  </si>
  <si>
    <t>GRAND TOTAL</t>
  </si>
  <si>
    <t>DEPOSITS</t>
  </si>
  <si>
    <t>Non-Refundable Four Oaks Manor deposit</t>
  </si>
  <si>
    <t>Non-Refundable Services deposit</t>
  </si>
  <si>
    <t>Refundable kitchen deposit*</t>
  </si>
  <si>
    <t>Payments</t>
  </si>
  <si>
    <t>Check/Cash</t>
  </si>
  <si>
    <t>Payment Amount</t>
  </si>
  <si>
    <t>Note: Editable Fields are highlighted in Purple.</t>
  </si>
  <si>
    <t>The prices in this estimate are good for 30 days from the date received.</t>
  </si>
  <si>
    <t>Total</t>
  </si>
  <si>
    <t>Click on the link below to view rental items.</t>
  </si>
  <si>
    <t>http://picasaweb.google.com/drandywest/SimpleGatheringsRentals#</t>
  </si>
  <si>
    <t>Simple Gatherings &amp; Events – Rental</t>
  </si>
  <si>
    <t xml:space="preserve">DATE Needed: </t>
  </si>
  <si>
    <t>Qntty</t>
  </si>
  <si>
    <t>Qtty Needed</t>
  </si>
  <si>
    <t>Price/item</t>
  </si>
  <si>
    <t>Price</t>
  </si>
  <si>
    <t>Tents, Chairs, &amp; Dance Floor</t>
  </si>
  <si>
    <t xml:space="preserve">  Tent – White 20 ft x 30 ft (high peak tent)</t>
  </si>
  <si>
    <t>Solid White  7 ft tall Sides 20 ft long</t>
  </si>
  <si>
    <t>White Cathedral Windowed 7 ft tall Sides 30 ft long</t>
  </si>
  <si>
    <t>Wooden floor for tents available at $1.25 per square foot</t>
  </si>
  <si>
    <t xml:space="preserve">  Tent 10 x 20 – White (frame tent)</t>
  </si>
  <si>
    <t>White Resin Wedding Chairs with cushioned seat</t>
  </si>
  <si>
    <t xml:space="preserve">  Dance Floor – wood laminate flooring – 8 ft x 16 ft – Must be covered</t>
  </si>
  <si>
    <t>Dishes, Glasses, &amp; Flatware</t>
  </si>
  <si>
    <t>Serving Dishes - Varied</t>
  </si>
  <si>
    <t>Serving Bowls - Large Varied</t>
  </si>
  <si>
    <t>Serving Bowls - Small White</t>
  </si>
  <si>
    <t>Serving Utensils - Varied</t>
  </si>
  <si>
    <t>10 in. glass plates</t>
  </si>
  <si>
    <t>7 in. glass plates</t>
  </si>
  <si>
    <t>Flatware (fork, spoon, knife)</t>
  </si>
  <si>
    <t>Drinks</t>
  </si>
  <si>
    <t>Drink Dispensers – Spanish Glass – 3 Gallon</t>
  </si>
  <si>
    <t>Water Glasses</t>
  </si>
  <si>
    <t>Wine Glasses</t>
  </si>
  <si>
    <t>Champagne Flutes – glass</t>
  </si>
  <si>
    <t>Coffee Maker (60 cup)</t>
  </si>
  <si>
    <t>Cups - porcelain mix and match</t>
  </si>
  <si>
    <t>Cups - glass</t>
  </si>
  <si>
    <t>Punch Bowl - Silver</t>
  </si>
  <si>
    <t>Punch Bowl Glasses - glass</t>
  </si>
  <si>
    <t>Items for Serving Food</t>
  </si>
  <si>
    <t>Chaffing Dishes - Rectangular 8 Qt – Electric</t>
  </si>
  <si>
    <t>Chaffing Dishes - Rectangular 8 Qt – Requires Sterno</t>
  </si>
  <si>
    <t>Chaffing Dishes - Round - Requires Sterno</t>
  </si>
  <si>
    <t>Heat Lamp Cutting Board</t>
  </si>
  <si>
    <t xml:space="preserve">  Cake Platforms – Nickle plated – Round or Square</t>
  </si>
  <si>
    <t xml:space="preserve">  Chocolate Fountain </t>
  </si>
  <si>
    <t>Popcorn Popper</t>
  </si>
  <si>
    <t>Tables &amp; Linens</t>
  </si>
  <si>
    <t>6' Rectangular (72 inch x 30 inch – resin)Tables</t>
  </si>
  <si>
    <t>5' Round (60 inches round – resin) Tables</t>
  </si>
  <si>
    <t>Table cloths for 60 inch round tables</t>
  </si>
  <si>
    <t>42” Round Glass Tables</t>
  </si>
  <si>
    <t xml:space="preserve">Square White 70 inch square table cloths </t>
  </si>
  <si>
    <t xml:space="preserve">Square Black 70 inch square table cloths </t>
  </si>
  <si>
    <t xml:space="preserve">  Napkins - White Linen</t>
  </si>
  <si>
    <t>Small lanterns</t>
  </si>
  <si>
    <t>Medium Lanterns</t>
  </si>
  <si>
    <t>Large Lanterns</t>
  </si>
  <si>
    <t>Small Hanging Tear Drop vases</t>
  </si>
  <si>
    <t>Large Hanging Tear Drop vases</t>
  </si>
  <si>
    <t>Commercial Heater (115,000 BTU stand alone) – Fuel extra</t>
  </si>
  <si>
    <t>Patio Heater (40,000 BTU stand alone) – Fuel extra</t>
  </si>
  <si>
    <t>Patio Heater (25,000 BTU table mounted) – Fuel extra</t>
  </si>
  <si>
    <t>Sub-Total</t>
  </si>
  <si>
    <t>Tax (Gwinnett County rate)</t>
  </si>
  <si>
    <t>Payment for these rental items is due no less than 5 days before the event.</t>
  </si>
  <si>
    <t>Length of Event</t>
  </si>
  <si>
    <t>Mid Day</t>
  </si>
  <si>
    <t>1 Hr</t>
  </si>
  <si>
    <t>2 Hrs</t>
  </si>
  <si>
    <t>All Day</t>
  </si>
  <si>
    <t>3 Hrs</t>
  </si>
  <si>
    <t>Choc Fountain</t>
  </si>
  <si>
    <t>5 Hrs</t>
  </si>
  <si>
    <t>Yes_No</t>
  </si>
  <si>
    <t>Payment</t>
  </si>
  <si>
    <t>Credit Card</t>
  </si>
  <si>
    <t>Wedding</t>
  </si>
  <si>
    <t>Reception</t>
  </si>
  <si>
    <t>Rehearsal Dinner</t>
  </si>
  <si>
    <t>Prices</t>
  </si>
  <si>
    <t>Day or Evening</t>
  </si>
  <si>
    <t>Saturday Mid-Day (Completed by 2:00 pm)</t>
  </si>
  <si>
    <t>Saturday Evening</t>
  </si>
  <si>
    <t>Tents</t>
  </si>
  <si>
    <t>Meal Options</t>
  </si>
  <si>
    <r>
      <t>Luncheon:  C</t>
    </r>
    <r>
      <rPr>
        <sz val="10"/>
        <color indexed="18"/>
        <rFont val="Arial"/>
        <family val="2"/>
        <charset val="1"/>
      </rPr>
      <t>hicken salad w/croissant, fruit &amp; green beans, or pasta salad.</t>
    </r>
  </si>
  <si>
    <t>Hi-Tea: Baked Ham or Sausage, Eggs, Seasonal Fruit &amp; Grits</t>
  </si>
  <si>
    <t>Brunch: Baked Ham, Quiche, Chicken Pasta Florentine, Fruit , Cinnamon Rolls, Croissants &amp; Bagels</t>
  </si>
  <si>
    <t>Max1</t>
  </si>
  <si>
    <t>Chicken Pasta Dinner: Choice of pasta w/ grilled chicken in cream sauce w/ 2 sides</t>
  </si>
  <si>
    <t>Barbecue (Pork or Chicken) 2 Sides</t>
  </si>
  <si>
    <t>Low Country Boil</t>
  </si>
  <si>
    <t>Max2</t>
  </si>
  <si>
    <t>Dinner &amp; Pasta</t>
  </si>
  <si>
    <t>Appetizers</t>
  </si>
  <si>
    <t>Fresh Fruit, Cheese &amp; Crackers</t>
  </si>
  <si>
    <t>Light Hors D’Oeuvres: Fruit &amp; Cheese, Bruchetta, Spinach Dip, &amp;  Chicken or Shrimp</t>
  </si>
  <si>
    <t>Max3</t>
  </si>
  <si>
    <t>Heavy Hors D’Oeuvres: Fruit &amp; Cheese, Bruchetta, Crudites, Spinach Dip, Chicken &amp; Shrimp, Meat Balls</t>
  </si>
  <si>
    <t>Desert Option</t>
  </si>
  <si>
    <t>Coffee</t>
  </si>
  <si>
    <t>Chocolate Fountain (Dark Chocolate, mixed fruit &amp; various treats)</t>
  </si>
  <si>
    <t>Max4</t>
  </si>
  <si>
    <t>Desert</t>
  </si>
  <si>
    <t>Popcorn</t>
  </si>
  <si>
    <t>Fire Pit - No SMORES</t>
  </si>
  <si>
    <t>Prime Angus Beef Tenderloin - and any three sides.  Tea, water and lemonade.</t>
  </si>
  <si>
    <t>Dinner: Select one Chicken and one Pork Tenderloin entrée (min. 80 people - otherwise two chicken entrées) and any 3 sides. Tea, water and lemonade.</t>
  </si>
  <si>
    <t>Additional Chicken Entrée</t>
  </si>
  <si>
    <t>Additional Pork Tenderloin Entrée</t>
  </si>
  <si>
    <t>Additional Choices</t>
  </si>
  <si>
    <t>Childs Plate - Minimum of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</si>
</sst>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dd&quot;, &quot;mmmm\ dd&quot;, &quot;yyyy"/>
    <numFmt numFmtId="165" formatCode="&quot; $&quot;#,##0.00\ ;&quot; $(&quot;#,##0.00\);&quot; $-&quot;#\ ;@\ "/>
    <numFmt numFmtId="166" formatCode="&quot; $&quot;#,##0\ ;&quot; $(&quot;#,##0\);&quot; $-&quot;#\ ;@\ "/>
    <numFmt numFmtId="167" formatCode="ddd&quot;, &quot;mmm\ d&quot;, &quot;yy"/>
    <numFmt numFmtId="168" formatCode="[$$-409]#,##0.00;[Red]\-[$$-409]#,##0.00"/>
  </numFmts>
  <fonts count="29" x14ac:knownFonts="1">
    <font>
      <sz val="10"/>
      <name val="Arial"/>
      <family val="2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8"/>
      <name val="Arial"/>
      <family val="2"/>
      <charset val="1"/>
    </font>
    <font>
      <b/>
      <sz val="9"/>
      <name val="Arial"/>
      <family val="2"/>
      <charset val="1"/>
    </font>
    <font>
      <i/>
      <sz val="10"/>
      <name val="Arial"/>
      <family val="2"/>
      <charset val="1"/>
    </font>
    <font>
      <sz val="9"/>
      <color indexed="9"/>
      <name val="Arial"/>
      <family val="2"/>
      <charset val="1"/>
    </font>
    <font>
      <sz val="9"/>
      <name val="Arial"/>
      <family val="2"/>
      <charset val="1"/>
    </font>
    <font>
      <sz val="9"/>
      <color indexed="42"/>
      <name val="Arial"/>
      <family val="2"/>
      <charset val="1"/>
    </font>
    <font>
      <b/>
      <sz val="9"/>
      <color indexed="42"/>
      <name val="Arial"/>
      <family val="2"/>
      <charset val="1"/>
    </font>
    <font>
      <b/>
      <i/>
      <sz val="9"/>
      <name val="Arial"/>
      <family val="2"/>
      <charset val="1"/>
    </font>
    <font>
      <sz val="9"/>
      <color indexed="23"/>
      <name val="Arial"/>
      <family val="2"/>
      <charset val="1"/>
    </font>
    <font>
      <sz val="10"/>
      <color indexed="23"/>
      <name val="Arial"/>
      <family val="2"/>
      <charset val="1"/>
    </font>
    <font>
      <sz val="9"/>
      <color indexed="17"/>
      <name val="Arial"/>
      <family val="2"/>
      <charset val="1"/>
    </font>
    <font>
      <b/>
      <sz val="9"/>
      <color indexed="17"/>
      <name val="Arial"/>
      <family val="2"/>
      <charset val="1"/>
    </font>
    <font>
      <b/>
      <sz val="10"/>
      <name val="Arial"/>
      <family val="2"/>
      <charset val="1"/>
    </font>
    <font>
      <i/>
      <sz val="9"/>
      <name val="Arial"/>
      <family val="2"/>
      <charset val="1"/>
    </font>
    <font>
      <sz val="9"/>
      <color indexed="28"/>
      <name val="Arial"/>
      <family val="2"/>
      <charset val="1"/>
    </font>
    <font>
      <sz val="9"/>
      <color indexed="12"/>
      <name val="Arial"/>
      <family val="2"/>
      <charset val="1"/>
    </font>
    <font>
      <b/>
      <sz val="9"/>
      <color indexed="25"/>
      <name val="Arial"/>
      <family val="2"/>
      <charset val="1"/>
    </font>
    <font>
      <b/>
      <sz val="9"/>
      <color indexed="12"/>
      <name val="Arial"/>
      <family val="2"/>
      <charset val="1"/>
    </font>
    <font>
      <b/>
      <sz val="10"/>
      <color indexed="12"/>
      <name val="Arial"/>
      <family val="2"/>
      <charset val="1"/>
    </font>
    <font>
      <b/>
      <i/>
      <u/>
      <sz val="9"/>
      <color indexed="17"/>
      <name val="Arial"/>
      <family val="2"/>
      <charset val="1"/>
    </font>
    <font>
      <b/>
      <i/>
      <u/>
      <sz val="9"/>
      <color indexed="58"/>
      <name val="Arial"/>
      <family val="2"/>
      <charset val="1"/>
    </font>
    <font>
      <sz val="10"/>
      <name val="Wingdings"/>
      <charset val="2"/>
    </font>
    <font>
      <sz val="10"/>
      <color indexed="12"/>
      <name val="Arial"/>
      <family val="2"/>
      <charset val="1"/>
    </font>
    <font>
      <b/>
      <i/>
      <u/>
      <sz val="9"/>
      <color indexed="12"/>
      <name val="Arial"/>
      <family val="2"/>
      <charset val="1"/>
    </font>
    <font>
      <sz val="10"/>
      <color indexed="18"/>
      <name val="Arial"/>
      <family val="2"/>
      <charset val="1"/>
    </font>
    <font>
      <u/>
      <sz val="10"/>
      <name val="Arial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indexed="31"/>
        <bgColor indexed="47"/>
      </patternFill>
    </fill>
    <fill>
      <patternFill patternType="solid">
        <fgColor indexed="41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13"/>
        <bgColor indexed="34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47"/>
      </patternFill>
    </fill>
    <fill>
      <patternFill patternType="solid">
        <fgColor indexed="22"/>
        <b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23"/>
        <bgColor indexed="55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</borders>
  <cellStyleXfs count="3">
    <xf numFmtId="0" fontId="0" fillId="0" borderId="0"/>
    <xf numFmtId="165" fontId="1" fillId="0" borderId="0"/>
    <xf numFmtId="0" fontId="1" fillId="0" borderId="0"/>
  </cellStyleXfs>
  <cellXfs count="140">
    <xf numFmtId="0" fontId="0" fillId="0" borderId="0" xfId="0"/>
    <xf numFmtId="0" fontId="1" fillId="0" borderId="0" xfId="2"/>
    <xf numFmtId="14" fontId="1" fillId="0" borderId="0" xfId="2" applyNumberFormat="1"/>
    <xf numFmtId="1" fontId="1" fillId="0" borderId="0" xfId="2" applyNumberFormat="1"/>
    <xf numFmtId="0" fontId="2" fillId="0" borderId="1" xfId="2" applyFont="1" applyBorder="1" applyProtection="1">
      <protection locked="0"/>
    </xf>
    <xf numFmtId="0" fontId="3" fillId="0" borderId="1" xfId="2" applyFont="1" applyBorder="1" applyAlignment="1">
      <alignment horizontal="center"/>
    </xf>
    <xf numFmtId="0" fontId="4" fillId="0" borderId="1" xfId="2" applyFont="1" applyBorder="1" applyAlignment="1">
      <alignment horizontal="right"/>
    </xf>
    <xf numFmtId="0" fontId="4" fillId="2" borderId="2" xfId="2" applyFont="1" applyFill="1" applyBorder="1" applyAlignment="1" applyProtection="1">
      <alignment horizontal="center"/>
      <protection locked="0"/>
    </xf>
    <xf numFmtId="0" fontId="1" fillId="0" borderId="0" xfId="2" applyAlignment="1">
      <alignment horizontal="center" wrapText="1"/>
    </xf>
    <xf numFmtId="0" fontId="5" fillId="2" borderId="1" xfId="2" applyFont="1" applyFill="1" applyBorder="1" applyAlignment="1" applyProtection="1">
      <alignment horizontal="left" indent="1"/>
      <protection hidden="1"/>
    </xf>
    <xf numFmtId="0" fontId="6" fillId="0" borderId="1" xfId="2" applyFont="1" applyFill="1" applyBorder="1" applyAlignment="1" applyProtection="1">
      <alignment horizontal="center"/>
      <protection hidden="1"/>
    </xf>
    <xf numFmtId="165" fontId="6" fillId="0" borderId="1" xfId="1" applyFont="1" applyFill="1" applyBorder="1" applyAlignment="1" applyProtection="1">
      <alignment horizontal="center"/>
      <protection hidden="1"/>
    </xf>
    <xf numFmtId="165" fontId="7" fillId="0" borderId="1" xfId="1" applyFont="1" applyFill="1" applyBorder="1" applyAlignment="1" applyProtection="1">
      <protection hidden="1"/>
    </xf>
    <xf numFmtId="1" fontId="1" fillId="0" borderId="0" xfId="2" applyNumberFormat="1" applyAlignment="1">
      <alignment horizontal="center" wrapText="1"/>
    </xf>
    <xf numFmtId="0" fontId="7" fillId="0" borderId="1" xfId="2" applyFont="1" applyBorder="1" applyAlignment="1">
      <alignment horizontal="left" indent="1"/>
    </xf>
    <xf numFmtId="0" fontId="6" fillId="2" borderId="1" xfId="2" applyFont="1" applyFill="1" applyBorder="1" applyAlignment="1" applyProtection="1">
      <alignment horizontal="center"/>
      <protection locked="0" hidden="1"/>
    </xf>
    <xf numFmtId="165" fontId="6" fillId="0" borderId="1" xfId="1" applyFont="1" applyFill="1" applyBorder="1" applyAlignment="1" applyProtection="1">
      <protection hidden="1"/>
    </xf>
    <xf numFmtId="0" fontId="4" fillId="3" borderId="3" xfId="2" applyFont="1" applyFill="1" applyBorder="1" applyAlignment="1">
      <alignment horizontal="left"/>
    </xf>
    <xf numFmtId="0" fontId="8" fillId="3" borderId="3" xfId="2" applyFont="1" applyFill="1" applyBorder="1" applyAlignment="1">
      <alignment horizontal="center"/>
    </xf>
    <xf numFmtId="0" fontId="9" fillId="3" borderId="1" xfId="2" applyFont="1" applyFill="1" applyBorder="1" applyAlignment="1">
      <alignment horizontal="left"/>
    </xf>
    <xf numFmtId="0" fontId="5" fillId="2" borderId="1" xfId="2" applyFont="1" applyFill="1" applyBorder="1" applyAlignment="1" applyProtection="1">
      <alignment horizontal="left" indent="1"/>
      <protection locked="0"/>
    </xf>
    <xf numFmtId="0" fontId="5" fillId="2" borderId="1" xfId="2" applyFont="1" applyFill="1" applyBorder="1" applyAlignment="1" applyProtection="1">
      <alignment horizontal="left" indent="1"/>
      <protection locked="0" hidden="1"/>
    </xf>
    <xf numFmtId="165" fontId="7" fillId="0" borderId="1" xfId="1" applyFont="1" applyFill="1" applyBorder="1" applyAlignment="1" applyProtection="1">
      <alignment horizontal="right"/>
      <protection hidden="1"/>
    </xf>
    <xf numFmtId="165" fontId="4" fillId="4" borderId="1" xfId="1" applyFont="1" applyFill="1" applyBorder="1" applyAlignment="1" applyProtection="1">
      <protection hidden="1"/>
    </xf>
    <xf numFmtId="0" fontId="4" fillId="3" borderId="1" xfId="2" applyFont="1" applyFill="1" applyBorder="1"/>
    <xf numFmtId="0" fontId="7" fillId="0" borderId="1" xfId="2" applyFont="1" applyBorder="1"/>
    <xf numFmtId="165" fontId="7" fillId="0" borderId="1" xfId="1" applyFont="1" applyFill="1" applyBorder="1" applyAlignment="1" applyProtection="1"/>
    <xf numFmtId="0" fontId="7" fillId="2" borderId="1" xfId="2" applyFont="1" applyFill="1" applyBorder="1" applyAlignment="1" applyProtection="1">
      <alignment horizontal="center"/>
      <protection locked="0" hidden="1"/>
    </xf>
    <xf numFmtId="165" fontId="7" fillId="0" borderId="1" xfId="1" applyFont="1" applyFill="1" applyBorder="1" applyAlignment="1" applyProtection="1">
      <alignment horizontal="center"/>
    </xf>
    <xf numFmtId="0" fontId="7" fillId="0" borderId="4" xfId="2" applyFont="1" applyBorder="1" applyAlignment="1">
      <alignment horizontal="left" indent="1"/>
    </xf>
    <xf numFmtId="0" fontId="11" fillId="0" borderId="5" xfId="2" applyFont="1" applyFill="1" applyBorder="1" applyAlignment="1">
      <alignment horizontal="left" indent="2"/>
    </xf>
    <xf numFmtId="0" fontId="12" fillId="2" borderId="1" xfId="2" applyFont="1" applyFill="1" applyBorder="1" applyAlignment="1" applyProtection="1">
      <alignment horizontal="center"/>
      <protection locked="0" hidden="1"/>
    </xf>
    <xf numFmtId="165" fontId="11" fillId="0" borderId="1" xfId="1" applyFont="1" applyFill="1" applyBorder="1" applyAlignment="1" applyProtection="1">
      <alignment horizontal="center"/>
    </xf>
    <xf numFmtId="165" fontId="11" fillId="0" borderId="1" xfId="1" applyFont="1" applyFill="1" applyBorder="1" applyAlignment="1" applyProtection="1">
      <protection hidden="1"/>
    </xf>
    <xf numFmtId="0" fontId="11" fillId="0" borderId="1" xfId="2" applyFont="1" applyBorder="1" applyAlignment="1">
      <alignment horizontal="left" indent="2"/>
    </xf>
    <xf numFmtId="0" fontId="12" fillId="2" borderId="6" xfId="2" applyFont="1" applyFill="1" applyBorder="1" applyAlignment="1" applyProtection="1">
      <alignment horizontal="center"/>
      <protection locked="0" hidden="1"/>
    </xf>
    <xf numFmtId="0" fontId="11" fillId="2" borderId="1" xfId="2" applyFont="1" applyFill="1" applyBorder="1" applyAlignment="1" applyProtection="1">
      <alignment horizontal="center"/>
      <protection locked="0" hidden="1"/>
    </xf>
    <xf numFmtId="0" fontId="7" fillId="0" borderId="1" xfId="2" applyFont="1" applyBorder="1" applyAlignment="1">
      <alignment horizontal="left" indent="2"/>
    </xf>
    <xf numFmtId="164" fontId="1" fillId="0" borderId="0" xfId="2" applyNumberFormat="1"/>
    <xf numFmtId="0" fontId="7" fillId="5" borderId="1" xfId="2" applyFont="1" applyFill="1" applyBorder="1"/>
    <xf numFmtId="165" fontId="7" fillId="0" borderId="1" xfId="1" applyFont="1" applyFill="1" applyBorder="1" applyAlignment="1" applyProtection="1">
      <protection locked="0" hidden="1"/>
    </xf>
    <xf numFmtId="165" fontId="7" fillId="0" borderId="1" xfId="1" applyFont="1" applyFill="1" applyBorder="1" applyAlignment="1" applyProtection="1">
      <alignment horizontal="center"/>
      <protection hidden="1"/>
    </xf>
    <xf numFmtId="166" fontId="7" fillId="0" borderId="1" xfId="1" applyNumberFormat="1" applyFont="1" applyFill="1" applyBorder="1" applyAlignment="1" applyProtection="1">
      <alignment horizontal="center"/>
    </xf>
    <xf numFmtId="0" fontId="7" fillId="0" borderId="1" xfId="2" applyFont="1" applyBorder="1" applyProtection="1">
      <protection hidden="1"/>
    </xf>
    <xf numFmtId="0" fontId="7" fillId="2" borderId="1" xfId="2" applyFont="1" applyFill="1" applyBorder="1" applyAlignment="1" applyProtection="1">
      <alignment horizontal="left" wrapText="1" indent="1"/>
      <protection locked="0"/>
    </xf>
    <xf numFmtId="0" fontId="7" fillId="2" borderId="1" xfId="2" applyFont="1" applyFill="1" applyBorder="1" applyProtection="1">
      <protection hidden="1"/>
    </xf>
    <xf numFmtId="165" fontId="7" fillId="2" borderId="1" xfId="1" applyFont="1" applyFill="1" applyBorder="1" applyAlignment="1" applyProtection="1">
      <protection hidden="1"/>
    </xf>
    <xf numFmtId="0" fontId="7" fillId="2" borderId="1" xfId="2" applyFont="1" applyFill="1" applyBorder="1" applyAlignment="1" applyProtection="1">
      <alignment horizontal="left" indent="1"/>
      <protection locked="0"/>
    </xf>
    <xf numFmtId="0" fontId="7" fillId="2" borderId="1" xfId="2" applyFont="1" applyFill="1" applyBorder="1" applyProtection="1">
      <protection locked="0" hidden="1"/>
    </xf>
    <xf numFmtId="165" fontId="7" fillId="2" borderId="1" xfId="1" applyFont="1" applyFill="1" applyBorder="1" applyAlignment="1" applyProtection="1">
      <protection locked="0" hidden="1"/>
    </xf>
    <xf numFmtId="0" fontId="7" fillId="2" borderId="1" xfId="2" applyFont="1" applyFill="1" applyBorder="1" applyAlignment="1" applyProtection="1">
      <alignment horizontal="left" vertical="top" wrapText="1" indent="1"/>
      <protection locked="0"/>
    </xf>
    <xf numFmtId="0" fontId="4" fillId="3" borderId="1" xfId="2" applyFont="1" applyFill="1" applyBorder="1" applyAlignment="1">
      <alignment horizontal="left"/>
    </xf>
    <xf numFmtId="9" fontId="7" fillId="0" borderId="1" xfId="2" applyNumberFormat="1" applyFont="1" applyBorder="1"/>
    <xf numFmtId="165" fontId="4" fillId="0" borderId="1" xfId="1" applyFont="1" applyFill="1" applyBorder="1" applyAlignment="1" applyProtection="1">
      <protection hidden="1"/>
    </xf>
    <xf numFmtId="0" fontId="1" fillId="6" borderId="1" xfId="2" applyFont="1" applyFill="1" applyBorder="1" applyProtection="1">
      <protection hidden="1"/>
    </xf>
    <xf numFmtId="9" fontId="13" fillId="0" borderId="1" xfId="2" applyNumberFormat="1" applyFont="1" applyBorder="1"/>
    <xf numFmtId="165" fontId="13" fillId="0" borderId="1" xfId="1" applyFont="1" applyFill="1" applyBorder="1" applyAlignment="1" applyProtection="1"/>
    <xf numFmtId="165" fontId="14" fillId="0" borderId="1" xfId="1" applyFont="1" applyFill="1" applyBorder="1" applyAlignment="1" applyProtection="1">
      <protection hidden="1"/>
    </xf>
    <xf numFmtId="0" fontId="4" fillId="0" borderId="1" xfId="2" applyFont="1" applyBorder="1"/>
    <xf numFmtId="165" fontId="15" fillId="0" borderId="1" xfId="1" applyFont="1" applyFill="1" applyBorder="1" applyAlignment="1" applyProtection="1">
      <protection hidden="1"/>
    </xf>
    <xf numFmtId="0" fontId="16" fillId="0" borderId="1" xfId="2" applyFont="1" applyBorder="1"/>
    <xf numFmtId="4" fontId="1" fillId="0" borderId="0" xfId="2" applyNumberFormat="1"/>
    <xf numFmtId="0" fontId="17" fillId="0" borderId="1" xfId="2" applyFont="1" applyBorder="1" applyAlignment="1">
      <alignment horizontal="left" indent="1"/>
    </xf>
    <xf numFmtId="0" fontId="17" fillId="0" borderId="1" xfId="2" applyFont="1" applyBorder="1"/>
    <xf numFmtId="165" fontId="17" fillId="0" borderId="1" xfId="1" applyFont="1" applyFill="1" applyBorder="1" applyAlignment="1" applyProtection="1">
      <protection hidden="1"/>
    </xf>
    <xf numFmtId="0" fontId="18" fillId="0" borderId="1" xfId="2" applyFont="1" applyBorder="1" applyAlignment="1">
      <alignment horizontal="left" indent="1"/>
    </xf>
    <xf numFmtId="0" fontId="18" fillId="0" borderId="1" xfId="2" applyFont="1" applyBorder="1"/>
    <xf numFmtId="165" fontId="18" fillId="0" borderId="1" xfId="1" applyFont="1" applyFill="1" applyBorder="1" applyAlignment="1" applyProtection="1">
      <protection hidden="1"/>
    </xf>
    <xf numFmtId="165" fontId="18" fillId="0" borderId="1" xfId="1" applyFont="1" applyFill="1" applyBorder="1" applyAlignment="1" applyProtection="1"/>
    <xf numFmtId="164" fontId="4" fillId="7" borderId="1" xfId="2" applyNumberFormat="1" applyFont="1" applyFill="1" applyBorder="1" applyAlignment="1" applyProtection="1">
      <alignment horizontal="right" shrinkToFit="1"/>
      <protection locked="0" hidden="1"/>
    </xf>
    <xf numFmtId="2" fontId="4" fillId="0" borderId="1" xfId="2" applyNumberFormat="1" applyFont="1" applyFill="1" applyBorder="1" applyAlignment="1" applyProtection="1">
      <alignment horizontal="right" shrinkToFit="1"/>
      <protection locked="0"/>
    </xf>
    <xf numFmtId="0" fontId="19" fillId="0" borderId="1" xfId="2" applyFont="1" applyBorder="1" applyAlignment="1" applyProtection="1">
      <alignment horizontal="right"/>
      <protection hidden="1"/>
    </xf>
    <xf numFmtId="165" fontId="19" fillId="0" borderId="1" xfId="1" applyFont="1" applyFill="1" applyBorder="1" applyAlignment="1" applyProtection="1">
      <protection hidden="1"/>
    </xf>
    <xf numFmtId="164" fontId="4" fillId="0" borderId="1" xfId="2" applyNumberFormat="1" applyFont="1" applyBorder="1" applyAlignment="1" applyProtection="1">
      <alignment horizontal="right"/>
      <protection hidden="1"/>
    </xf>
    <xf numFmtId="0" fontId="4" fillId="0" borderId="1" xfId="2" applyFont="1" applyBorder="1" applyAlignment="1" applyProtection="1">
      <alignment horizontal="right"/>
      <protection hidden="1"/>
    </xf>
    <xf numFmtId="165" fontId="4" fillId="0" borderId="1" xfId="2" applyNumberFormat="1" applyFont="1" applyBorder="1" applyProtection="1">
      <protection hidden="1"/>
    </xf>
    <xf numFmtId="165" fontId="1" fillId="0" borderId="0" xfId="2" applyNumberFormat="1"/>
    <xf numFmtId="0" fontId="20" fillId="0" borderId="1" xfId="2" applyFont="1" applyBorder="1" applyAlignment="1" applyProtection="1">
      <alignment horizontal="right"/>
      <protection hidden="1"/>
    </xf>
    <xf numFmtId="165" fontId="20" fillId="0" borderId="1" xfId="2" applyNumberFormat="1" applyFont="1" applyBorder="1" applyProtection="1">
      <protection hidden="1"/>
    </xf>
    <xf numFmtId="165" fontId="7" fillId="2" borderId="6" xfId="1" applyFont="1" applyFill="1" applyBorder="1" applyAlignment="1" applyProtection="1">
      <protection locked="0"/>
    </xf>
    <xf numFmtId="0" fontId="7" fillId="0" borderId="0" xfId="2" applyFont="1"/>
    <xf numFmtId="0" fontId="22" fillId="0" borderId="6" xfId="2" applyFont="1" applyBorder="1"/>
    <xf numFmtId="0" fontId="23" fillId="0" borderId="0" xfId="2" applyFont="1"/>
    <xf numFmtId="0" fontId="24" fillId="0" borderId="0" xfId="2" applyFont="1"/>
    <xf numFmtId="0" fontId="1" fillId="2" borderId="0" xfId="2" applyFill="1"/>
    <xf numFmtId="0" fontId="25" fillId="8" borderId="0" xfId="2" applyFont="1" applyFill="1" applyAlignment="1">
      <alignment wrapText="1"/>
    </xf>
    <xf numFmtId="0" fontId="1" fillId="8" borderId="0" xfId="2" applyFill="1"/>
    <xf numFmtId="0" fontId="2" fillId="8" borderId="1" xfId="2" applyFont="1" applyFill="1" applyBorder="1"/>
    <xf numFmtId="0" fontId="7" fillId="8" borderId="6" xfId="2" applyFont="1" applyFill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15" fillId="8" borderId="1" xfId="2" applyFont="1" applyFill="1" applyBorder="1" applyAlignment="1">
      <alignment horizontal="left" indent="2"/>
    </xf>
    <xf numFmtId="0" fontId="7" fillId="8" borderId="1" xfId="2" applyFont="1" applyFill="1" applyBorder="1"/>
    <xf numFmtId="165" fontId="7" fillId="8" borderId="1" xfId="1" applyFont="1" applyFill="1" applyBorder="1" applyAlignment="1" applyProtection="1"/>
    <xf numFmtId="0" fontId="7" fillId="0" borderId="1" xfId="2" applyFont="1" applyFill="1" applyBorder="1"/>
    <xf numFmtId="0" fontId="7" fillId="0" borderId="1" xfId="2" applyFont="1" applyFill="1" applyBorder="1" applyAlignment="1" applyProtection="1">
      <alignment horizontal="center"/>
      <protection locked="0" hidden="1"/>
    </xf>
    <xf numFmtId="0" fontId="7" fillId="0" borderId="1" xfId="2" applyFont="1" applyFill="1" applyBorder="1" applyAlignment="1">
      <alignment horizontal="left" indent="1"/>
    </xf>
    <xf numFmtId="0" fontId="7" fillId="0" borderId="1" xfId="2" applyFont="1" applyFill="1" applyBorder="1" applyAlignment="1" applyProtection="1">
      <alignment horizontal="left" indent="1"/>
      <protection locked="0" hidden="1"/>
    </xf>
    <xf numFmtId="0" fontId="7" fillId="8" borderId="1" xfId="2" applyFont="1" applyFill="1" applyBorder="1" applyAlignment="1">
      <alignment horizontal="center"/>
    </xf>
    <xf numFmtId="0" fontId="15" fillId="8" borderId="1" xfId="2" applyFont="1" applyFill="1" applyBorder="1" applyAlignment="1">
      <alignment horizontal="left" indent="1"/>
    </xf>
    <xf numFmtId="0" fontId="7" fillId="0" borderId="1" xfId="2" applyFont="1" applyBorder="1" applyAlignment="1">
      <alignment wrapText="1"/>
    </xf>
    <xf numFmtId="0" fontId="7" fillId="8" borderId="1" xfId="2" applyFont="1" applyFill="1" applyBorder="1" applyAlignment="1">
      <alignment horizontal="left" indent="1"/>
    </xf>
    <xf numFmtId="165" fontId="4" fillId="0" borderId="1" xfId="1" applyFont="1" applyFill="1" applyBorder="1" applyAlignment="1" applyProtection="1"/>
    <xf numFmtId="0" fontId="26" fillId="0" borderId="0" xfId="2" applyFont="1"/>
    <xf numFmtId="0" fontId="22" fillId="0" borderId="0" xfId="2" applyFont="1"/>
    <xf numFmtId="0" fontId="1" fillId="9" borderId="6" xfId="2" applyFill="1" applyBorder="1"/>
    <xf numFmtId="0" fontId="1" fillId="9" borderId="6" xfId="2" applyFont="1" applyFill="1" applyBorder="1" applyAlignment="1">
      <alignment horizontal="center"/>
    </xf>
    <xf numFmtId="0" fontId="1" fillId="9" borderId="6" xfId="2" applyFill="1" applyBorder="1" applyAlignment="1">
      <alignment horizontal="center"/>
    </xf>
    <xf numFmtId="0" fontId="1" fillId="0" borderId="6" xfId="2" applyFont="1" applyBorder="1"/>
    <xf numFmtId="0" fontId="5" fillId="0" borderId="1" xfId="2" applyFont="1" applyBorder="1" applyAlignment="1">
      <alignment horizontal="left" indent="1"/>
    </xf>
    <xf numFmtId="0" fontId="1" fillId="0" borderId="0" xfId="2" applyFill="1" applyBorder="1" applyAlignment="1">
      <alignment horizontal="center"/>
    </xf>
    <xf numFmtId="0" fontId="5" fillId="0" borderId="0" xfId="2" applyFont="1" applyFill="1" applyBorder="1" applyAlignment="1">
      <alignment horizontal="left" indent="1"/>
    </xf>
    <xf numFmtId="0" fontId="5" fillId="0" borderId="7" xfId="2" applyFont="1" applyBorder="1" applyAlignment="1">
      <alignment horizontal="left" indent="1"/>
    </xf>
    <xf numFmtId="168" fontId="1" fillId="0" borderId="6" xfId="2" applyNumberFormat="1" applyFont="1" applyBorder="1"/>
    <xf numFmtId="0" fontId="1" fillId="0" borderId="6" xfId="2" applyFont="1" applyBorder="1" applyAlignment="1">
      <alignment horizontal="left"/>
    </xf>
    <xf numFmtId="0" fontId="28" fillId="0" borderId="6" xfId="2" applyFont="1" applyBorder="1" applyAlignment="1">
      <alignment horizontal="left"/>
    </xf>
    <xf numFmtId="0" fontId="1" fillId="0" borderId="6" xfId="2" applyBorder="1"/>
    <xf numFmtId="0" fontId="1" fillId="0" borderId="6" xfId="2" applyFont="1" applyBorder="1" applyAlignment="1">
      <alignment wrapText="1"/>
    </xf>
    <xf numFmtId="1" fontId="1" fillId="0" borderId="0" xfId="2" applyNumberFormat="1" applyBorder="1" applyAlignment="1">
      <alignment wrapText="1"/>
    </xf>
    <xf numFmtId="14" fontId="1" fillId="0" borderId="0" xfId="2" applyNumberFormat="1" applyBorder="1" applyAlignment="1">
      <alignment wrapText="1"/>
    </xf>
    <xf numFmtId="167" fontId="15" fillId="0" borderId="1" xfId="2" applyNumberFormat="1" applyFont="1" applyBorder="1" applyAlignment="1" applyProtection="1">
      <alignment horizontal="right" wrapText="1"/>
      <protection hidden="1"/>
    </xf>
    <xf numFmtId="167" fontId="15" fillId="0" borderId="1" xfId="2" applyNumberFormat="1" applyFont="1" applyBorder="1" applyAlignment="1" applyProtection="1">
      <alignment horizontal="right"/>
      <protection hidden="1"/>
    </xf>
    <xf numFmtId="167" fontId="15" fillId="0" borderId="1" xfId="2" applyNumberFormat="1" applyFont="1" applyBorder="1" applyAlignment="1" applyProtection="1">
      <protection hidden="1"/>
    </xf>
    <xf numFmtId="167" fontId="21" fillId="0" borderId="1" xfId="2" applyNumberFormat="1" applyFont="1" applyBorder="1" applyAlignment="1" applyProtection="1">
      <protection hidden="1"/>
    </xf>
    <xf numFmtId="0" fontId="4" fillId="4" borderId="1" xfId="2" applyFont="1" applyFill="1" applyBorder="1" applyAlignment="1">
      <alignment horizontal="center"/>
    </xf>
    <xf numFmtId="0" fontId="10" fillId="0" borderId="1" xfId="2" applyFont="1" applyFill="1" applyBorder="1" applyAlignment="1" applyProtection="1">
      <alignment horizontal="center"/>
      <protection locked="0"/>
    </xf>
    <xf numFmtId="0" fontId="15" fillId="10" borderId="1" xfId="2" applyFont="1" applyFill="1" applyBorder="1" applyAlignment="1">
      <alignment horizontal="center"/>
    </xf>
    <xf numFmtId="0" fontId="4" fillId="2" borderId="1" xfId="2" applyFont="1" applyFill="1" applyBorder="1" applyAlignment="1" applyProtection="1">
      <alignment horizontal="center"/>
      <protection locked="0"/>
    </xf>
    <xf numFmtId="0" fontId="19" fillId="0" borderId="1" xfId="2" applyFont="1" applyBorder="1" applyAlignment="1">
      <alignment horizontal="left"/>
    </xf>
    <xf numFmtId="0" fontId="7" fillId="2" borderId="1" xfId="2" applyFont="1" applyFill="1" applyBorder="1" applyAlignment="1" applyProtection="1">
      <alignment horizontal="center"/>
      <protection locked="0" hidden="1"/>
    </xf>
    <xf numFmtId="0" fontId="7" fillId="0" borderId="1" xfId="2" applyFont="1" applyFill="1" applyBorder="1" applyProtection="1">
      <protection locked="0" hidden="1"/>
    </xf>
    <xf numFmtId="164" fontId="4" fillId="2" borderId="8" xfId="2" applyNumberFormat="1" applyFont="1" applyFill="1" applyBorder="1" applyAlignment="1" applyProtection="1">
      <alignment horizontal="center"/>
      <protection locked="0"/>
    </xf>
    <xf numFmtId="164" fontId="4" fillId="2" borderId="1" xfId="2" applyNumberFormat="1" applyFont="1" applyFill="1" applyBorder="1" applyAlignment="1" applyProtection="1">
      <alignment horizontal="center"/>
      <protection locked="0"/>
    </xf>
    <xf numFmtId="0" fontId="4" fillId="3" borderId="2" xfId="2" applyFont="1" applyFill="1" applyBorder="1" applyAlignment="1">
      <alignment horizontal="left"/>
    </xf>
    <xf numFmtId="1" fontId="1" fillId="0" borderId="0" xfId="2" applyNumberFormat="1" applyBorder="1" applyAlignment="1">
      <alignment horizontal="center" wrapText="1"/>
    </xf>
    <xf numFmtId="0" fontId="4" fillId="3" borderId="3" xfId="2" applyFont="1" applyFill="1" applyBorder="1" applyAlignment="1">
      <alignment horizontal="left"/>
    </xf>
    <xf numFmtId="0" fontId="2" fillId="2" borderId="0" xfId="2" applyFont="1" applyFill="1" applyBorder="1"/>
    <xf numFmtId="164" fontId="7" fillId="8" borderId="6" xfId="2" applyNumberFormat="1" applyFont="1" applyFill="1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1" fillId="9" borderId="6" xfId="2" applyFont="1" applyFill="1" applyBorder="1"/>
    <xf numFmtId="0" fontId="1" fillId="0" borderId="6" xfId="2" applyFont="1" applyBorder="1"/>
  </cellXfs>
  <cellStyles count="3">
    <cellStyle name="Currency" xfId="1" builtinId="4"/>
    <cellStyle name="Excel Built-in Normal 1" xfId="2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D9D9D9"/>
      <rgbColor rgb="00FFFF99"/>
      <rgbColor rgb="0099CCFF"/>
      <rgbColor rgb="00FF99CC"/>
      <rgbColor rgb="00CC99FF"/>
      <rgbColor rgb="00CC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0</xdr:rowOff>
    </xdr:from>
    <xdr:to>
      <xdr:col>3</xdr:col>
      <xdr:colOff>914400</xdr:colOff>
      <xdr:row>5</xdr:row>
      <xdr:rowOff>219075</xdr:rowOff>
    </xdr:to>
    <xdr:pic>
      <xdr:nvPicPr>
        <xdr:cNvPr id="104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6705600" cy="1028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0</xdr:rowOff>
    </xdr:from>
    <xdr:to>
      <xdr:col>5</xdr:col>
      <xdr:colOff>133350</xdr:colOff>
      <xdr:row>6</xdr:row>
      <xdr:rowOff>66675</xdr:rowOff>
    </xdr:to>
    <xdr:pic>
      <xdr:nvPicPr>
        <xdr:cNvPr id="2062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029450" cy="1666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picasaweb.google.com/drandywest/SimpleGatheringsRental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80"/>
  <sheetViews>
    <sheetView tabSelected="1" zoomScale="115" zoomScaleNormal="115" workbookViewId="0">
      <selection activeCell="A7" sqref="A7"/>
    </sheetView>
  </sheetViews>
  <sheetFormatPr defaultColWidth="8.85546875" defaultRowHeight="12.75" x14ac:dyDescent="0.2"/>
  <cols>
    <col min="1" max="1" width="67" style="1" customWidth="1"/>
    <col min="2" max="2" width="10.42578125" style="1" customWidth="1"/>
    <col min="3" max="3" width="11" style="1" customWidth="1"/>
    <col min="4" max="4" width="17.5703125" style="1" customWidth="1"/>
    <col min="5" max="5" width="9.140625" style="1" customWidth="1"/>
    <col min="6" max="6" width="26.140625" style="1" customWidth="1"/>
    <col min="7" max="7" width="10.140625" style="1" customWidth="1"/>
    <col min="8" max="10" width="8.85546875" style="1"/>
    <col min="11" max="11" width="4.42578125" style="1" customWidth="1"/>
    <col min="12" max="16384" width="8.85546875" style="1"/>
  </cols>
  <sheetData>
    <row r="6" spans="1:11" ht="20.45" customHeight="1" x14ac:dyDescent="0.2">
      <c r="E6" s="2"/>
      <c r="F6" s="3"/>
    </row>
    <row r="7" spans="1:11" ht="15.6" customHeight="1" x14ac:dyDescent="0.25">
      <c r="A7" s="4" t="s">
        <v>0</v>
      </c>
      <c r="B7" s="5" t="s">
        <v>1</v>
      </c>
      <c r="C7" s="130" t="s">
        <v>2</v>
      </c>
      <c r="D7" s="130"/>
      <c r="E7" s="2"/>
    </row>
    <row r="8" spans="1:11" ht="15.6" customHeight="1" x14ac:dyDescent="0.2">
      <c r="A8" s="6" t="s">
        <v>3</v>
      </c>
      <c r="B8" s="7">
        <v>80</v>
      </c>
      <c r="C8" s="131">
        <v>41896</v>
      </c>
      <c r="D8" s="131"/>
      <c r="E8" s="2"/>
      <c r="F8" s="3"/>
      <c r="G8" s="8"/>
      <c r="H8" s="8"/>
    </row>
    <row r="9" spans="1:11" ht="14.25" customHeight="1" x14ac:dyDescent="0.2">
      <c r="A9" s="132"/>
      <c r="B9" s="132"/>
      <c r="C9" s="132"/>
      <c r="D9" s="132"/>
      <c r="E9" s="2"/>
      <c r="F9" s="133"/>
      <c r="G9" s="133"/>
      <c r="H9" s="133"/>
      <c r="I9" s="133"/>
      <c r="J9" s="133"/>
      <c r="K9" s="133"/>
    </row>
    <row r="10" spans="1:11" x14ac:dyDescent="0.2">
      <c r="A10" s="9" t="str">
        <f>IF(((C8-40180)/7)-(ROUNDDOWN((C8-40180)/7,0))=0,IF(C7="Evening","Saturday Evening Rental","Saturday Rental"),IF(((C8-40181)/7)-(ROUNDDOWN((C8-40181)/7,0))=0,"Sunday Rental",IF(((C8-40179)/7)-(ROUNDDOWN((C8-40179)/7,0))=0,"Friday Rental","Week Day Rental")))</f>
        <v>Sunday Rental</v>
      </c>
      <c r="B10" s="10" t="str">
        <f>IF(AND(A13="Rehearsal Dinner",A10&lt;&gt;"Saturday Evening Rental",C7="Mid Day"),"Yes",IF(((C8-40179)/7)-(ROUNDDOWN((C8-40179)/7,0))=0,"No",IF(((C8-40180)/7)-(ROUNDDOWN((C8-40180)/7,0))=0,"No",IF(((C8-40181)/7)-(ROUNDDOWN((C8-40181)/7,0))=0,"No","Yes"))))</f>
        <v>No</v>
      </c>
      <c r="C10" s="11" t="str">
        <f>IF(AND(A10="Saturday Evening Rental",OR(AND(C8&gt;41713,C8&lt;41805),AND(C8&gt;41882,C8&lt;41958),AND(C8&gt;42078,C8&lt;42170),AND(C8&gt;42231,C8&lt;42323))),"Yes",IF(AND(A10="Saturday Evening Rental",OR(AND(C8&gt;42444,C8&lt;42536),AND(C8&gt;42597,C8&lt;42689),AND(C8&gt;42809,C8&lt;42901),AND(C8&gt;42962,C8&lt;43054))),"Yes","No"))</f>
        <v>No</v>
      </c>
      <c r="D10" s="12">
        <f>IF(B10="Yes",(VALUE(LEFT(A15,1))*250),IF(C10="Yes",1950,IF(AND(B12="Yes",OR(VALUE(LEFT(A15,1))=4,VALUE(LEFT(A15,1))=5)),1150,IF(AND(VALUE(LEFT(A15,1))*360&gt;1375,VALUE(LEFT(A15,1))&gt;=4),1375,VALUE(LEFT(A15,1))*275))))</f>
        <v>1375</v>
      </c>
      <c r="E10" s="8"/>
      <c r="F10" s="13"/>
      <c r="G10" s="8"/>
      <c r="H10" s="8"/>
      <c r="I10" s="8"/>
    </row>
    <row r="11" spans="1:11" ht="12.75" hidden="1" customHeight="1" x14ac:dyDescent="0.2">
      <c r="A11" s="14" t="s">
        <v>4</v>
      </c>
      <c r="B11" s="15"/>
      <c r="C11" s="16" t="str">
        <f>IF(A13="Meeting",400,"")</f>
        <v/>
      </c>
      <c r="D11" s="12" t="str">
        <f>IF(B11="Yes",IF(D52&lt;1200,C11,""),"")</f>
        <v/>
      </c>
      <c r="F11" s="3"/>
      <c r="I11" s="8"/>
    </row>
    <row r="12" spans="1:11" x14ac:dyDescent="0.2">
      <c r="A12" s="17" t="s">
        <v>5</v>
      </c>
      <c r="B12" s="18" t="str">
        <f>IF(A10="Saturday Rental","Yes",IF(OR(AND(C8&gt;41013,C8&lt;41076),AND(C8&gt;41152,C8&lt;41214)),"Yes",IF(OR(AND(C8&gt;41378,C8&lt;41441),AND(C8&gt;41517,C8&lt;41579)),"Yes","No")))</f>
        <v>No</v>
      </c>
      <c r="C12" s="19"/>
      <c r="D12" s="17"/>
      <c r="E12" s="2"/>
      <c r="I12" s="8"/>
    </row>
    <row r="13" spans="1:11" ht="12.75" customHeight="1" x14ac:dyDescent="0.2">
      <c r="A13" s="20" t="s">
        <v>6</v>
      </c>
      <c r="B13" s="124"/>
      <c r="C13" s="124"/>
      <c r="D13" s="124"/>
      <c r="E13" s="2"/>
      <c r="F13" s="118"/>
      <c r="G13" s="117"/>
      <c r="H13" s="117"/>
      <c r="I13" s="117"/>
      <c r="J13" s="117"/>
      <c r="K13" s="117"/>
    </row>
    <row r="14" spans="1:11" x14ac:dyDescent="0.2">
      <c r="A14" s="134" t="str">
        <f>IF(OR(A13="Wedding &amp; Reception",A13="Wedding"),"Length of Event - You are provided an equavilent amount of time Pre-Wedding at no additional cost","Length of Event")</f>
        <v>Length of Event - You are provided an equavilent amount of time Pre-Wedding at no additional cost</v>
      </c>
      <c r="B14" s="134"/>
      <c r="C14" s="134"/>
      <c r="D14" s="134"/>
      <c r="E14" s="2"/>
      <c r="F14" s="2"/>
      <c r="I14" s="8"/>
    </row>
    <row r="15" spans="1:11" x14ac:dyDescent="0.2">
      <c r="A15" s="21" t="s">
        <v>7</v>
      </c>
      <c r="B15" s="124"/>
      <c r="C15" s="124"/>
      <c r="D15" s="22" t="str">
        <f>IF(A15="5 Hrs",275,IF(A15="6 Hrs",550,""))</f>
        <v/>
      </c>
      <c r="E15" s="2"/>
      <c r="F15" s="2"/>
      <c r="I15" s="8"/>
    </row>
    <row r="16" spans="1:11" x14ac:dyDescent="0.2">
      <c r="A16" s="123" t="s">
        <v>8</v>
      </c>
      <c r="B16" s="123"/>
      <c r="C16" s="123"/>
      <c r="D16" s="23">
        <f>SUM(D10:D15)</f>
        <v>1375</v>
      </c>
      <c r="F16" s="2"/>
    </row>
    <row r="17" spans="1:8" x14ac:dyDescent="0.2">
      <c r="A17" s="24" t="s">
        <v>9</v>
      </c>
      <c r="B17" s="25"/>
      <c r="C17" s="26"/>
      <c r="D17" s="12"/>
      <c r="E17" s="2"/>
      <c r="F17" s="2"/>
    </row>
    <row r="18" spans="1:8" x14ac:dyDescent="0.2">
      <c r="A18" s="25" t="s">
        <v>10</v>
      </c>
      <c r="B18" s="27" t="str">
        <f>IF(OR(A13="Reception",A13="Wedding &amp; Reception"),"1","None")</f>
        <v>1</v>
      </c>
      <c r="C18" s="28" t="s">
        <v>11</v>
      </c>
      <c r="D18" s="12">
        <f>IF(B18="None",0,B18*30)</f>
        <v>30</v>
      </c>
      <c r="E18" s="2"/>
      <c r="F18" s="2"/>
    </row>
    <row r="19" spans="1:8" x14ac:dyDescent="0.2">
      <c r="A19" s="29" t="s">
        <v>12</v>
      </c>
      <c r="B19" s="27" t="str">
        <f>SUM(B21:B23)&amp;" Tables"</f>
        <v>13 Tables</v>
      </c>
      <c r="C19" s="28"/>
      <c r="D19" s="12">
        <f>SUM(D20:D23)</f>
        <v>307.5</v>
      </c>
      <c r="E19" s="2"/>
      <c r="H19" s="3"/>
    </row>
    <row r="20" spans="1:8" hidden="1" x14ac:dyDescent="0.2">
      <c r="A20" s="30" t="s">
        <v>13</v>
      </c>
      <c r="B20" s="31">
        <v>0</v>
      </c>
      <c r="C20" s="32" t="s">
        <v>14</v>
      </c>
      <c r="D20" s="33">
        <f>IF(B20&lt;&gt;0,(B20*20),0)</f>
        <v>0</v>
      </c>
      <c r="E20" s="2"/>
      <c r="F20" s="3"/>
      <c r="H20" s="3"/>
    </row>
    <row r="21" spans="1:8" x14ac:dyDescent="0.2">
      <c r="A21" s="34" t="s">
        <v>15</v>
      </c>
      <c r="B21" s="35">
        <f>IF(A13="Wedding",0,IF(B8&gt;136,ROUNDUP((B8-(B22*4+B23*8))/8+3,0),3))</f>
        <v>3</v>
      </c>
      <c r="C21" s="32" t="s">
        <v>16</v>
      </c>
      <c r="D21" s="33">
        <f>IF(B21&lt;&gt;0,(B21*22.5),0)</f>
        <v>67.5</v>
      </c>
      <c r="F21" s="3"/>
      <c r="G21" s="3"/>
      <c r="H21" s="3"/>
    </row>
    <row r="22" spans="1:8" x14ac:dyDescent="0.2">
      <c r="A22" s="34" t="s">
        <v>17</v>
      </c>
      <c r="B22" s="36"/>
      <c r="C22" s="32" t="s">
        <v>18</v>
      </c>
      <c r="D22" s="33">
        <f>IF(B22&lt;&gt;0,(B22*14.5),0)</f>
        <v>0</v>
      </c>
      <c r="F22" s="3"/>
      <c r="G22" s="3"/>
      <c r="H22" s="3"/>
    </row>
    <row r="23" spans="1:8" x14ac:dyDescent="0.2">
      <c r="A23" s="34" t="s">
        <v>19</v>
      </c>
      <c r="B23" s="31">
        <f>IF(A13="Wedding",0,IF(B8&lt;136,ROUNDUP(B8/8,0),17))</f>
        <v>10</v>
      </c>
      <c r="C23" s="32" t="s">
        <v>20</v>
      </c>
      <c r="D23" s="33">
        <f>IF(B23&lt;&gt;"",(B23*24),"")</f>
        <v>240</v>
      </c>
      <c r="F23" s="3"/>
      <c r="G23" s="3"/>
      <c r="H23" s="3"/>
    </row>
    <row r="24" spans="1:8" x14ac:dyDescent="0.2">
      <c r="A24" s="14" t="s">
        <v>21</v>
      </c>
      <c r="B24" s="27" t="s">
        <v>22</v>
      </c>
      <c r="C24" s="28" t="s">
        <v>23</v>
      </c>
      <c r="D24" s="12">
        <f>IF(B24="Yes",(B8*3),0)</f>
        <v>240</v>
      </c>
      <c r="F24" s="3"/>
      <c r="G24" s="3"/>
      <c r="H24" s="3"/>
    </row>
    <row r="25" spans="1:8" x14ac:dyDescent="0.2">
      <c r="A25" s="25" t="s">
        <v>24</v>
      </c>
      <c r="B25" s="27" t="s">
        <v>25</v>
      </c>
      <c r="C25" s="28" t="str">
        <f>"$"&amp;IF(OR(AND(C8&gt;41713,C8&lt;41805),AND(C8&gt;41866,C8&lt;41958),AND(C8&gt;42078,C8&lt;42170),AND(C8&gt;42231,C8&lt;42323)),275,IF(OR(AND(C8&gt;42444,C8&lt;42536),AND(C8&gt;42597,C8&lt;42689),AND(C8&gt;42809,C8&lt;42901),AND(C8&gt;42962,C8&lt;43054)),275,200))&amp;" each"</f>
        <v>$275 each</v>
      </c>
      <c r="D25" s="12">
        <f>IF(B25="None",0,(B25*VALUE(MID(C25,2,3))))</f>
        <v>0</v>
      </c>
      <c r="F25" s="3"/>
      <c r="G25" s="3"/>
      <c r="H25" s="3"/>
    </row>
    <row r="26" spans="1:8" hidden="1" x14ac:dyDescent="0.2">
      <c r="A26" s="37" t="s">
        <v>26</v>
      </c>
      <c r="B26" s="27" t="s">
        <v>25</v>
      </c>
      <c r="C26" s="28" t="s">
        <v>27</v>
      </c>
      <c r="D26" s="12">
        <f>IF(B26="None",0,(B26*400))</f>
        <v>0</v>
      </c>
      <c r="F26" s="3"/>
      <c r="G26" s="3"/>
      <c r="H26" s="3"/>
    </row>
    <row r="27" spans="1:8" x14ac:dyDescent="0.2">
      <c r="A27" s="25" t="s">
        <v>28</v>
      </c>
      <c r="B27" s="27" t="s">
        <v>25</v>
      </c>
      <c r="C27" s="28" t="s">
        <v>29</v>
      </c>
      <c r="D27" s="12">
        <f>IF(B27="None",0,(B27*145))</f>
        <v>0</v>
      </c>
      <c r="F27" s="3"/>
      <c r="G27" s="3"/>
    </row>
    <row r="28" spans="1:8" x14ac:dyDescent="0.2">
      <c r="A28" s="14" t="s">
        <v>30</v>
      </c>
      <c r="B28" s="27" t="s">
        <v>25</v>
      </c>
      <c r="C28" s="28" t="s">
        <v>11</v>
      </c>
      <c r="D28" s="12">
        <f>IF(B28="None",0,B28*30)</f>
        <v>0</v>
      </c>
      <c r="F28" s="38"/>
      <c r="G28" s="3"/>
    </row>
    <row r="29" spans="1:8" hidden="1" x14ac:dyDescent="0.2">
      <c r="A29" s="39" t="s">
        <v>31</v>
      </c>
      <c r="B29" s="25"/>
      <c r="C29" s="26"/>
      <c r="D29" s="12">
        <f>Rentals!E67</f>
        <v>0</v>
      </c>
    </row>
    <row r="30" spans="1:8" x14ac:dyDescent="0.2">
      <c r="A30" s="123" t="s">
        <v>32</v>
      </c>
      <c r="B30" s="123"/>
      <c r="C30" s="123"/>
      <c r="D30" s="23">
        <f>D18+D19+SUM(D24:D29)</f>
        <v>577.5</v>
      </c>
    </row>
    <row r="31" spans="1:8" x14ac:dyDescent="0.2">
      <c r="A31" s="24" t="s">
        <v>33</v>
      </c>
      <c r="B31" s="124"/>
      <c r="C31" s="124"/>
      <c r="D31" s="124"/>
      <c r="F31" s="38"/>
    </row>
    <row r="32" spans="1:8" x14ac:dyDescent="0.2">
      <c r="A32" s="14" t="s">
        <v>34</v>
      </c>
      <c r="B32" s="129"/>
      <c r="C32" s="129"/>
      <c r="D32" s="12">
        <f>IF(OR(A13="Wedding &amp; Reception",A13="Reception"),375+(B21+B22+B23+3)*12+(VALUE(LEFT(A15,1)-4)*150),IF(A13="Rehearsal Dinner",200,VALUE(LEFT(A15,1)+3)*45))</f>
        <v>567</v>
      </c>
      <c r="E32" s="1" t="s">
        <v>35</v>
      </c>
      <c r="F32" s="38"/>
    </row>
    <row r="33" spans="1:7" x14ac:dyDescent="0.2">
      <c r="A33" s="14" t="s">
        <v>36</v>
      </c>
      <c r="B33" s="129"/>
      <c r="C33" s="129"/>
      <c r="D33" s="12">
        <f>IF(A13="Wedding",0,IF(A13="Rehearsal Dinner",ROUNDUP(B8/20,0)*14.75*VALUE(LEFT(A15,1)+1),IF(D52=0,0,ROUNDUP(B8/16,0)*15.5*VALUE(LEFT(A15,1)+2))))</f>
        <v>465</v>
      </c>
      <c r="F33" s="38"/>
    </row>
    <row r="34" spans="1:7" x14ac:dyDescent="0.2">
      <c r="A34" s="14" t="str">
        <f>IF(B34="Yes","Centerpiece Decorations Estimate - Laurens Floral Art","Ceterpiece setup Fee")</f>
        <v>Centerpiece Decorations Estimate - Laurens Floral Art</v>
      </c>
      <c r="B34" s="128" t="s">
        <v>22</v>
      </c>
      <c r="C34" s="128"/>
      <c r="D34" s="40">
        <f>IF(A13="Wedding",0,IF(AND(OR(A13="Wedding &amp; Reception",A13="Reception",A13="Rehearsal Dinner"),B34&lt;&gt;"No"),B8*7,IF(B34="Yes",B8*7,ROUNDUP(B8/8,0)*25)))</f>
        <v>560</v>
      </c>
      <c r="F34" s="2"/>
      <c r="G34" s="3"/>
    </row>
    <row r="35" spans="1:7" x14ac:dyDescent="0.2">
      <c r="A35" s="14" t="str">
        <f>IF(B35="Yes","Altar (Floral Swag &amp; 2 Clusters &amp; Aisle rose petals or leaves - Laurens Floral Art","Altar Setup Fee")</f>
        <v>Altar (Floral Swag &amp; 2 Clusters &amp; Aisle rose petals or leaves - Laurens Floral Art</v>
      </c>
      <c r="B35" s="128" t="s">
        <v>22</v>
      </c>
      <c r="C35" s="128"/>
      <c r="D35" s="40">
        <f>IF(LEFT(A13,1)="W",IF(B35="Yes",350,95),0)</f>
        <v>350</v>
      </c>
      <c r="F35" s="2"/>
      <c r="G35" s="3"/>
    </row>
    <row r="36" spans="1:7" x14ac:dyDescent="0.2">
      <c r="A36" s="14" t="s">
        <v>37</v>
      </c>
      <c r="B36" s="27" t="s">
        <v>40</v>
      </c>
      <c r="C36" s="41" t="s">
        <v>38</v>
      </c>
      <c r="D36" s="12" t="str">
        <f>IF(B36="Yes",(3.75*B8),"")</f>
        <v/>
      </c>
      <c r="F36" s="2"/>
      <c r="G36" s="3"/>
    </row>
    <row r="37" spans="1:7" x14ac:dyDescent="0.2">
      <c r="A37" s="14" t="s">
        <v>39</v>
      </c>
      <c r="B37" s="27" t="s">
        <v>40</v>
      </c>
      <c r="C37" s="41" t="s">
        <v>41</v>
      </c>
      <c r="D37" s="12" t="str">
        <f>IF(B37="Yes",B8*1.2,"")</f>
        <v/>
      </c>
      <c r="F37" s="2"/>
      <c r="G37" s="3"/>
    </row>
    <row r="38" spans="1:7" x14ac:dyDescent="0.2">
      <c r="A38" s="14" t="s">
        <v>42</v>
      </c>
      <c r="B38" s="27" t="s">
        <v>40</v>
      </c>
      <c r="C38" s="42">
        <f>IF(A38="Fire Pit Prep &amp; SMORES",125,100)</f>
        <v>125</v>
      </c>
      <c r="D38" s="12" t="str">
        <f>IF(B38="Yes",C38,"")</f>
        <v/>
      </c>
    </row>
    <row r="39" spans="1:7" hidden="1" x14ac:dyDescent="0.2">
      <c r="A39" s="14" t="s">
        <v>43</v>
      </c>
      <c r="B39" s="43"/>
      <c r="C39" s="26">
        <v>1000</v>
      </c>
      <c r="D39" s="12" t="str">
        <f>IF(B39&lt;&gt;"",(C39*B39),"")</f>
        <v/>
      </c>
    </row>
    <row r="40" spans="1:7" hidden="1" x14ac:dyDescent="0.2">
      <c r="A40" s="14" t="s">
        <v>44</v>
      </c>
      <c r="B40" s="43"/>
      <c r="C40" s="26">
        <v>75</v>
      </c>
      <c r="D40" s="12" t="str">
        <f>IF(B40&lt;&gt;"",(C40*B40),"")</f>
        <v/>
      </c>
    </row>
    <row r="41" spans="1:7" hidden="1" x14ac:dyDescent="0.2">
      <c r="A41" s="14" t="s">
        <v>45</v>
      </c>
      <c r="B41" s="25"/>
      <c r="C41" s="26">
        <v>0</v>
      </c>
      <c r="D41" s="12">
        <f>SUM(C41*B41)</f>
        <v>0</v>
      </c>
    </row>
    <row r="42" spans="1:7" x14ac:dyDescent="0.2">
      <c r="A42" s="123" t="s">
        <v>46</v>
      </c>
      <c r="B42" s="123"/>
      <c r="C42" s="123"/>
      <c r="D42" s="23">
        <f>SUM(D31:D41)</f>
        <v>1942</v>
      </c>
    </row>
    <row r="43" spans="1:7" x14ac:dyDescent="0.2">
      <c r="A43" s="24" t="s">
        <v>47</v>
      </c>
      <c r="B43" s="28" t="s">
        <v>48</v>
      </c>
      <c r="C43" s="26" t="s">
        <v>49</v>
      </c>
      <c r="D43" s="12"/>
    </row>
    <row r="44" spans="1:7" ht="26.25" customHeight="1" x14ac:dyDescent="0.2">
      <c r="A44" s="44" t="s">
        <v>50</v>
      </c>
      <c r="B44" s="45">
        <f>IF(A44="None","",$B$8)</f>
        <v>80</v>
      </c>
      <c r="C44" s="46">
        <f>IF(LEFT(A44,6)="Fresh ",6,IF(LEFT(A44,6)="Dinner",7.5,IF(LEFT(A44,7)="Light H",19.5,IF(LEFT(A44,7)="Heavy H",26,0))))</f>
        <v>7.5</v>
      </c>
      <c r="D44" s="12">
        <f>IF(B44&lt;&gt;"",(C44*B44),"")</f>
        <v>600</v>
      </c>
    </row>
    <row r="45" spans="1:7" ht="26.25" customHeight="1" x14ac:dyDescent="0.2">
      <c r="A45" s="44" t="s">
        <v>156</v>
      </c>
      <c r="B45" s="45">
        <f>IF(A45="None","",IF(LEFT(A49,5)="Child",$B$8-B49,$B$8))</f>
        <v>80</v>
      </c>
      <c r="C45" s="46">
        <f>IF(LEFT(A45,6)="Lunche",13.5,IF(OR(LEFT(A45,10)="Chicken Pa",LEFT(A45,6)="Hi-Tea"),23.5,IF(OR(LEFT(A45,10)="Dinner: Se",A45="Low Country Boil",LEFT(A45,6)="Brunch",A45="Barbecue (Pork or Chicken) 2 Sides"),27.5,IF(LEFT(A45,10)="Dinner &amp; P",29,IF(LEFT(A45,10)="Prime Angu",41,0)))))</f>
        <v>23.5</v>
      </c>
      <c r="D45" s="12">
        <f>IF(B45&lt;&gt;"",(C45*B45),"")</f>
        <v>1880</v>
      </c>
    </row>
    <row r="46" spans="1:7" hidden="1" x14ac:dyDescent="0.2">
      <c r="A46" s="47" t="s">
        <v>51</v>
      </c>
      <c r="B46" s="48">
        <f>IF(A46="None","",$B$8)</f>
        <v>80</v>
      </c>
      <c r="C46" s="49">
        <f>IF(OR(A46="Cheese &amp; Crackers",A46="Break"),3.5,IF(A46="Dinner Appetizers",6.5,IF(LEFT(A46,6)="Hors d",8,IF(LEFT(A46,7)="Heavy H",15,0))))</f>
        <v>0</v>
      </c>
      <c r="D46" s="12">
        <f>IF(B46&lt;&gt;"",(C46*B46),"")</f>
        <v>0</v>
      </c>
    </row>
    <row r="47" spans="1:7" hidden="1" x14ac:dyDescent="0.2">
      <c r="A47" s="47" t="s">
        <v>51</v>
      </c>
      <c r="B47" s="48">
        <f>IF(A47="None","",$B$8)</f>
        <v>80</v>
      </c>
      <c r="C47" s="49">
        <f>IF(OR(A47="Cheese &amp; Crackers",A47="Break"),3.5,IF(A47="Dinner Appetizers",6.5,IF(LEFT(A47,6)="Hors d",8,IF(LEFT(A47,7)="Heavy H",15,0))))</f>
        <v>0</v>
      </c>
      <c r="D47" s="12">
        <f>IF(B47&lt;&gt;"",(C47*B47),"")</f>
        <v>0</v>
      </c>
    </row>
    <row r="48" spans="1:7" hidden="1" x14ac:dyDescent="0.2">
      <c r="A48" s="47" t="s">
        <v>52</v>
      </c>
      <c r="B48" s="48">
        <f>IF(A48="None","",$B$8)</f>
        <v>80</v>
      </c>
      <c r="C48" s="49">
        <f>IF(OR(A48="Brunch",A48="Luncheon"),12.5,IF(A48="Hi-Tea",18.5,IF(A48="Barbecue",21.5,IF(OR(A48="Dinner",A48="Low Country Boil",A48="Barbecue Southern"),24,0))))</f>
        <v>0</v>
      </c>
      <c r="D48" s="12">
        <f>IF(B48&lt;&gt;"",(C48*B48),"")</f>
        <v>0</v>
      </c>
    </row>
    <row r="49" spans="1:5" x14ac:dyDescent="0.2">
      <c r="A49" s="47"/>
      <c r="B49" s="48" t="str">
        <f>IF(A49="","",IF(LEFT(A49,5)="Child",3,$B$8))</f>
        <v/>
      </c>
      <c r="C49" s="46">
        <f>IF(A49="",0,IF(LEFT(A49,13)="Additional Ch",4.5,IF(LEFT(A49,13)="Additional Po",5.5,IF(LEFT(A49,5)="Child",13.5,0))))</f>
        <v>0</v>
      </c>
      <c r="D49" s="12" t="str">
        <f>IF(B49="","",(C49*B49))</f>
        <v/>
      </c>
    </row>
    <row r="50" spans="1:5" x14ac:dyDescent="0.2">
      <c r="A50" s="24" t="s">
        <v>53</v>
      </c>
      <c r="B50" s="124"/>
      <c r="C50" s="124"/>
      <c r="D50" s="124"/>
    </row>
    <row r="51" spans="1:5" x14ac:dyDescent="0.2">
      <c r="A51" s="50" t="s">
        <v>25</v>
      </c>
      <c r="B51" s="48" t="str">
        <f>IF(OR(A51="None",A51="Included Above"),"",IF(OR(A51="Coffee",A51="PopCorn"),B8,IF(A51="Desert",B8,1)))</f>
        <v/>
      </c>
      <c r="C51" s="49" t="str">
        <f>IF(OR(A51="None",A51="Included Above"),"",IF(A51="Coffee",0.5,IF(A51="PopCorn",0.75,IF(A51="Desert",5.5,200*B51+2*B8))))</f>
        <v/>
      </c>
      <c r="D51" s="12" t="str">
        <f>IF(B51&lt;&gt;"",(C51*B51),"")</f>
        <v/>
      </c>
    </row>
    <row r="52" spans="1:5" x14ac:dyDescent="0.2">
      <c r="A52" s="123" t="s">
        <v>54</v>
      </c>
      <c r="B52" s="123"/>
      <c r="C52" s="123"/>
      <c r="D52" s="23">
        <f>SUM(D44:D51)</f>
        <v>2480</v>
      </c>
    </row>
    <row r="53" spans="1:5" x14ac:dyDescent="0.2">
      <c r="A53" s="51" t="s">
        <v>55</v>
      </c>
      <c r="B53" s="124"/>
      <c r="C53" s="124"/>
      <c r="D53" s="124"/>
    </row>
    <row r="54" spans="1:5" x14ac:dyDescent="0.2">
      <c r="A54" s="25" t="s">
        <v>56</v>
      </c>
      <c r="B54" s="52">
        <v>0.06</v>
      </c>
      <c r="C54" s="26"/>
      <c r="D54" s="53">
        <f>SUM(D16+D30+D52)*0.06</f>
        <v>265.95</v>
      </c>
    </row>
    <row r="55" spans="1:5" x14ac:dyDescent="0.2">
      <c r="A55" s="25" t="s">
        <v>57</v>
      </c>
      <c r="B55" s="52">
        <v>0.2</v>
      </c>
      <c r="C55" s="26"/>
      <c r="D55" s="53">
        <f>IF(D52*0.2-D33&lt;0,0,D52*0.2-D33)</f>
        <v>31</v>
      </c>
    </row>
    <row r="56" spans="1:5" x14ac:dyDescent="0.2">
      <c r="A56" s="123" t="s">
        <v>58</v>
      </c>
      <c r="B56" s="123"/>
      <c r="C56" s="123"/>
      <c r="D56" s="23">
        <f>SUM(D54:D55)</f>
        <v>296.95</v>
      </c>
    </row>
    <row r="57" spans="1:5" x14ac:dyDescent="0.2">
      <c r="A57" s="123"/>
      <c r="B57" s="123"/>
      <c r="C57" s="123"/>
      <c r="D57" s="23"/>
    </row>
    <row r="58" spans="1:5" x14ac:dyDescent="0.2">
      <c r="A58" s="24" t="s">
        <v>59</v>
      </c>
      <c r="B58" s="52"/>
      <c r="C58" s="26"/>
      <c r="D58" s="53">
        <f>SUM(D16+D30+D42+D52+D56+D57)</f>
        <v>6671.45</v>
      </c>
    </row>
    <row r="59" spans="1:5" x14ac:dyDescent="0.2">
      <c r="A59" s="54" t="str">
        <f>IF(AND(LEFT(A10,5)="Satur",C7="Evening",D58-D34-D35&lt;6300,OR(AND(C8&gt;41713,C8&lt;41805),AND(C8&gt;41882,C8&lt;41958),AND(C8&gt;42078,C8&lt;42170),AND(C8&gt;42231,C8&lt;42323))),"Minimum Charge Adjustment",IF(AND(LEFT(A10,5)="Satur",C7="Evening",D58-D34-D35&lt;6300,OR(AND(C8&gt;42444,C8&lt;42536),AND(C8&gt;42597,C8&lt;42689),AND(C8&gt;42809,C8&lt;42901),AND(C8&gt;42962,C8&lt;43054))),"Minimum Charge Adjustment",IF(AND(B12&lt;&gt;"",B13&lt;&gt;"",B14&lt;&gt;"",D52&gt;1000),"","")))</f>
        <v/>
      </c>
      <c r="B59" s="55"/>
      <c r="C59" s="56"/>
      <c r="D59" s="57" t="str">
        <f>IF(AND(LEFT(A59,5)="Minim",C7="Evening",D58-D34-D35&lt;6300),6300-D58+D34+D35,"")</f>
        <v/>
      </c>
    </row>
    <row r="60" spans="1:5" x14ac:dyDescent="0.2">
      <c r="A60" s="58" t="s">
        <v>60</v>
      </c>
      <c r="B60" s="52"/>
      <c r="C60" s="26"/>
      <c r="D60" s="59">
        <f>IF(D59&lt;&gt;"",D58+D59,D58)</f>
        <v>6671.45</v>
      </c>
    </row>
    <row r="61" spans="1:5" ht="14.85" customHeight="1" x14ac:dyDescent="0.2">
      <c r="A61" s="60"/>
      <c r="B61" s="52"/>
      <c r="C61" s="26"/>
      <c r="D61" s="53"/>
      <c r="E61" s="61"/>
    </row>
    <row r="62" spans="1:5" x14ac:dyDescent="0.2">
      <c r="A62" s="24" t="s">
        <v>61</v>
      </c>
      <c r="B62" s="124"/>
      <c r="C62" s="124"/>
      <c r="D62" s="124"/>
    </row>
    <row r="63" spans="1:5" x14ac:dyDescent="0.2">
      <c r="A63" s="62" t="s">
        <v>62</v>
      </c>
      <c r="B63" s="63"/>
      <c r="C63" s="64"/>
      <c r="D63" s="64">
        <f>IF(D16&gt;1000,1000,D16)</f>
        <v>1000</v>
      </c>
    </row>
    <row r="64" spans="1:5" x14ac:dyDescent="0.2">
      <c r="A64" s="62" t="s">
        <v>63</v>
      </c>
      <c r="B64" s="63"/>
      <c r="C64" s="64"/>
      <c r="D64" s="64">
        <f>IF(B15="",IF((D16*0.2)&gt;500,(D16*0.2),IF(D60-D16&gt;500,500,D60-D16)))</f>
        <v>500</v>
      </c>
    </row>
    <row r="65" spans="1:6" x14ac:dyDescent="0.2">
      <c r="A65" s="65" t="str">
        <f>IF(A13="Other","","Refundable security deposit*")</f>
        <v>Refundable security deposit*</v>
      </c>
      <c r="B65" s="66"/>
      <c r="C65" s="67"/>
      <c r="D65" s="67">
        <v>500</v>
      </c>
    </row>
    <row r="66" spans="1:6" hidden="1" x14ac:dyDescent="0.2">
      <c r="A66" s="65" t="s">
        <v>64</v>
      </c>
      <c r="B66" s="66"/>
      <c r="C66" s="68">
        <v>200</v>
      </c>
      <c r="D66" s="68">
        <f>SUM(C66*B66)</f>
        <v>0</v>
      </c>
    </row>
    <row r="67" spans="1:6" x14ac:dyDescent="0.2">
      <c r="A67" s="125" t="s">
        <v>65</v>
      </c>
      <c r="B67" s="125"/>
      <c r="C67" s="125"/>
      <c r="D67" s="125"/>
    </row>
    <row r="68" spans="1:6" ht="13.5" customHeight="1" x14ac:dyDescent="0.2">
      <c r="A68" s="69" t="str">
        <f>IF(B68="Credit Card","We accept Visa, Master Card, and Discover","Select Payment Type →")</f>
        <v>Select Payment Type →</v>
      </c>
      <c r="B68" s="126" t="s">
        <v>66</v>
      </c>
      <c r="C68" s="126"/>
      <c r="D68" s="70" t="s">
        <v>67</v>
      </c>
    </row>
    <row r="69" spans="1:6" x14ac:dyDescent="0.2">
      <c r="A69" s="71" t="str">
        <f>IF(OR(A13="Rehearsal Dinner",A13="Shower or Luncheon",A13="Other",A13="Party"),"","Deposit Due at Booking")</f>
        <v>Deposit Due at Booking</v>
      </c>
      <c r="B69" s="127"/>
      <c r="C69" s="127"/>
      <c r="D69" s="72">
        <f>IF(A13="Wedding",D60,IF(A13="Rehearsal Dinner","",SUM(D63:D64)))</f>
        <v>1500</v>
      </c>
    </row>
    <row r="70" spans="1:6" ht="13.35" customHeight="1" x14ac:dyDescent="0.2">
      <c r="A70" s="73" t="str">
        <f>IF(OR(A13="Rehearsal Dinner",A13="Shower or Luncheon",A13="Other",A13="Party"),"","2nd PAYMENT Due ")</f>
        <v xml:space="preserve">2nd PAYMENT Due </v>
      </c>
      <c r="B70" s="119">
        <f ca="1">IF((C8-30)&lt;NOW(),NOW(),IF(A13="Rehearsal Dinner","",C8-60))</f>
        <v>41836</v>
      </c>
      <c r="C70" s="119"/>
      <c r="D70" s="53">
        <f>IF(OR(A13="Wedding",A13="Rehearsal Dinner"),"",ROUNDUP((D60-D69-D55)/2,2))</f>
        <v>2570.23</v>
      </c>
    </row>
    <row r="71" spans="1:6" x14ac:dyDescent="0.2">
      <c r="A71" s="74" t="str">
        <f>IF(OR(A13="Rehearsal Dinner",A13="Shower or Luncheon",A13="Other",A13="Party"),"Payment Due at Booking","3rd PAYMENT Due")</f>
        <v>3rd PAYMENT Due</v>
      </c>
      <c r="B71" s="120">
        <f ca="1">IF((C8-30)&lt;NOW(),NOW(),IF(A13="Rehearsal Dinner","",C8-30))</f>
        <v>41866</v>
      </c>
      <c r="C71" s="120"/>
      <c r="D71" s="53">
        <f>IF(A13="Rehearsal Dinner",IF(D69="",(D16+D30+D42+D52+D54)/2,(D16+D30+D42+D52+D54-D69)/2),IF(A13="Wedding","",ROUNDDOWN((D60-D69-D55)/2,2)))</f>
        <v>2570.2199999999998</v>
      </c>
    </row>
    <row r="72" spans="1:6" x14ac:dyDescent="0.2">
      <c r="A72" s="74" t="str">
        <f>IF(AND(OR(A13="Rehearsal Dinner",A13="Shower or Luncheon",A13="Other",A13="Party"),D72&lt;&gt;""),"FINAL PAYMENT Due",IF(D72="","","Payment due 14 days before the event"))</f>
        <v>Payment due 14 days before the event</v>
      </c>
      <c r="B72" s="121">
        <f ca="1">IF(D72&lt;&gt;"",IF((C8-15)&lt;NOW(),NOW(),C8-15),"")</f>
        <v>41881</v>
      </c>
      <c r="C72" s="121"/>
      <c r="D72" s="75">
        <f>IF(A13="Rehearsal Dinner",D60-D71,IF(A13="Wedding","",IF(D69="",(D60-D71),IF(D60-D69-D70-D71=0,"",D60-D69-D70-D71))))</f>
        <v>31</v>
      </c>
      <c r="F72" s="76"/>
    </row>
    <row r="73" spans="1:6" x14ac:dyDescent="0.2">
      <c r="A73" s="77" t="str">
        <f>IF(OR(A13="Rehearsal Dinner",A13="Shower or Luncheon",A13="Other",A13="Party"),"Average Price Per Person","Security Deposit Due (Refundable after check out)")</f>
        <v>Security Deposit Due (Refundable after check out)</v>
      </c>
      <c r="B73" s="122">
        <f ca="1">IF(A73="Average Price Per Person","",IF((C8-15)&lt;NOW(),NOW(),C8-15))</f>
        <v>41881</v>
      </c>
      <c r="C73" s="122"/>
      <c r="D73" s="78">
        <f>IF(A13="Rehearsal Dinner",D60/B8,D65)</f>
        <v>500</v>
      </c>
    </row>
    <row r="74" spans="1:6" x14ac:dyDescent="0.2">
      <c r="A74" s="79" t="s">
        <v>68</v>
      </c>
      <c r="B74" s="80"/>
      <c r="C74" s="80"/>
      <c r="D74" s="80"/>
    </row>
    <row r="75" spans="1:6" x14ac:dyDescent="0.2">
      <c r="A75" s="81" t="s">
        <v>69</v>
      </c>
    </row>
    <row r="76" spans="1:6" x14ac:dyDescent="0.2">
      <c r="A76" s="82"/>
    </row>
    <row r="80" spans="1:6" x14ac:dyDescent="0.2">
      <c r="A80" s="83"/>
    </row>
  </sheetData>
  <sheetProtection password="E1D7" sheet="1" objects="1" scenarios="1" insertColumns="0" insertRows="0" selectLockedCells="1"/>
  <mergeCells count="28">
    <mergeCell ref="A14:D14"/>
    <mergeCell ref="C7:D7"/>
    <mergeCell ref="C8:D8"/>
    <mergeCell ref="A9:D9"/>
    <mergeCell ref="F9:K9"/>
    <mergeCell ref="B13:D13"/>
    <mergeCell ref="B53:D53"/>
    <mergeCell ref="B15:C15"/>
    <mergeCell ref="A16:C16"/>
    <mergeCell ref="A30:C30"/>
    <mergeCell ref="B31:D31"/>
    <mergeCell ref="B32:C32"/>
    <mergeCell ref="B33:C33"/>
    <mergeCell ref="B34:C34"/>
    <mergeCell ref="B35:C35"/>
    <mergeCell ref="A42:C42"/>
    <mergeCell ref="B50:D50"/>
    <mergeCell ref="A52:C52"/>
    <mergeCell ref="B70:C70"/>
    <mergeCell ref="B71:C71"/>
    <mergeCell ref="B72:C72"/>
    <mergeCell ref="B73:C73"/>
    <mergeCell ref="A56:C56"/>
    <mergeCell ref="A57:C57"/>
    <mergeCell ref="B62:D62"/>
    <mergeCell ref="A67:D67"/>
    <mergeCell ref="B68:C68"/>
    <mergeCell ref="B69:C69"/>
  </mergeCells>
  <dataValidations count="30">
    <dataValidation type="list" operator="equal" showInputMessage="1" showErrorMessage="1" promptTitle="Time of Day" prompt="Mid Day is four hours between 9 am until 2 pm._x000a__x000a_Evening is between 2 pm and 11 pm._x000a__x000a_All Day is from 9 am until 11 pm." sqref="C7">
      <formula1>SplitDay</formula1>
      <formula2>0</formula2>
    </dataValidation>
    <dataValidation type="whole" operator="lessThanOrEqual" showInputMessage="1" showErrorMessage="1" errorTitle="MaximumGuests" error="The maximum number of people allowed for an Event is currently 200." promptTitle="Maximum number" prompt="The Maximum number of people for an Event is 200" sqref="B8">
      <formula1>200</formula1>
      <formula2>0</formula2>
    </dataValidation>
    <dataValidation operator="equal" allowBlank="1" showInputMessage="1" promptTitle="Date" prompt="Format (dd/mm/yy)" sqref="C8">
      <formula1>0</formula1>
      <formula2>0</formula2>
    </dataValidation>
    <dataValidation operator="equal" allowBlank="1" showInputMessage="1" promptTitle="To change the selection:" prompt="Click on the Down Arrow to the right." sqref="A10">
      <formula1>0</formula1>
      <formula2>0</formula2>
    </dataValidation>
    <dataValidation type="list" operator="equal" allowBlank="1" showInputMessage="1" promptTitle="Business Meeting" prompt="Click on the down arrow to change the selection" sqref="B11">
      <formula1>Yes_No</formula1>
      <formula2>0</formula2>
    </dataValidation>
    <dataValidation type="list" operator="equal" allowBlank="1" showInputMessage="1" promptTitle="To change the selection:" prompt="Click on the Down Arrow to the right." sqref="A13">
      <formula1>Type_of_Event</formula1>
      <formula2>0</formula2>
    </dataValidation>
    <dataValidation type="list" operator="equal" allowBlank="1" showInputMessage="1" promptTitle="To change the selection:" prompt="Click on the Down Arrow to the right._x000a__x000a_The minimum time for an Event is 2 hours._x000a_The maximum time for a Wedding &amp; Reception is 6 hours." sqref="A15">
      <formula1>Length_of_Event</formula1>
      <formula2>0</formula2>
    </dataValidation>
    <dataValidation type="list" operator="equal" allowBlank="1" showInputMessage="1" promptTitle="To change the Selection:" prompt="Click on the Down Arrow" sqref="B18">
      <formula1>"None,1,2"</formula1>
      <formula2>0</formula2>
    </dataValidation>
    <dataValidation operator="equal" allowBlank="1" showInputMessage="1" promptTitle="To change the Selection:" prompt="Click on the Down Arrow" sqref="B19">
      <formula1>0</formula1>
      <formula2>0</formula2>
    </dataValidation>
    <dataValidation type="whole" operator="equal" allowBlank="1" showInputMessage="1" promptTitle="This cell contains a formula. " prompt="If you enter a number, the formula will be overwritten." sqref="B20">
      <formula1>0</formula1>
      <formula2>0</formula2>
    </dataValidation>
    <dataValidation type="whole" operator="equal" allowBlank="1" showInputMessage="1" promptTitle="This cell contains a formula." prompt="If you enter a number, the formula will be overwritten." sqref="B21 B23">
      <formula1>0</formula1>
      <formula2>0</formula2>
    </dataValidation>
    <dataValidation operator="equal" allowBlank="1" showInputMessage="1" promptTitle="Hourly Rental" prompt="Talk to your planner about hours" sqref="B22">
      <formula1>0</formula1>
      <formula2>0</formula2>
    </dataValidation>
    <dataValidation type="list" operator="equal" allowBlank="1" showInputMessage="1" errorTitle="Yes/No" error="Entry must be &quot;Yes&quot; or &quot;No&quot;" promptTitle="To change the Selection:" prompt="Click on the Down Arrow" sqref="B24 B34:B35">
      <formula1>"Yes,No"</formula1>
      <formula2>0</formula2>
    </dataValidation>
    <dataValidation type="list" operator="equal" allowBlank="1" showInputMessage="1" promptTitle="To change the Selection:" prompt="Click on the Down Arrow" sqref="B26:B27">
      <formula1>Tents</formula1>
      <formula2>0</formula2>
    </dataValidation>
    <dataValidation type="list" operator="equal" allowBlank="1" showInputMessage="1" promptTitle="To change the Selection:" prompt="Click on the Down Arrow" sqref="B28">
      <formula1>_Max2</formula1>
      <formula2>0</formula2>
    </dataValidation>
    <dataValidation type="list" operator="equal" allowBlank="1" showInputMessage="1" promptTitle="To change the selection:" prompt="Click on the Down Arrow" sqref="B36:B38">
      <formula1>Yes_No</formula1>
      <formula2>0</formula2>
    </dataValidation>
    <dataValidation type="list" errorStyle="warning" operator="equal" allowBlank="1" showErrorMessage="1" sqref="A38">
      <formula1>Fire_Pit</formula1>
      <formula2>0</formula2>
    </dataValidation>
    <dataValidation type="list" operator="equal" allowBlank="1" showInputMessage="1" showErrorMessage="1" promptTitle="To Change the selection:" prompt="Click on the Down Arrow to the right." sqref="A44">
      <formula1>Appetizers</formula1>
      <formula2>0</formula2>
    </dataValidation>
    <dataValidation operator="equal" allowBlank="1" showInputMessage="1" showErrorMessage="1" promptTitle="This cell contains a formula." prompt="If you enter a number, the formula will be overwritten." sqref="B44:C45 C49">
      <formula1>0</formula1>
      <formula2>0</formula2>
    </dataValidation>
    <dataValidation type="list" operator="equal" allowBlank="1" showInputMessage="1" showErrorMessage="1" promptTitle="To change the selection:" prompt="Click on the Down Arrow to the right." sqref="A45">
      <formula1>Meal_Options</formula1>
      <formula2>0</formula2>
    </dataValidation>
    <dataValidation type="list" operator="equal" allowBlank="1" sqref="A46:A47">
      <formula1>Appetizers</formula1>
      <formula2>0</formula2>
    </dataValidation>
    <dataValidation operator="equal" allowBlank="1" showErrorMessage="1" sqref="C48 B46:B48">
      <formula1>0</formula1>
      <formula2>0</formula2>
    </dataValidation>
    <dataValidation type="list" operator="equal" allowBlank="1" showErrorMessage="1" sqref="A48">
      <formula1>Meal_Options</formula1>
      <formula2>0</formula2>
    </dataValidation>
    <dataValidation type="list" operator="equal" allowBlank="1" showInputMessage="1" promptTitle="To change the selection:" prompt="Click on the Down Arrow to the right. " sqref="A51">
      <formula1>Desert_Option</formula1>
      <formula2>0</formula2>
    </dataValidation>
    <dataValidation type="decimal" operator="equal" allowBlank="1" showInputMessage="1" promptTitle="This cell contains a formula." prompt="If you enter a number, the formula will be overwritten." sqref="B51:C51">
      <formula1>0</formula1>
      <formula2>0</formula2>
    </dataValidation>
    <dataValidation type="list" errorStyle="warning" operator="equal" allowBlank="1" showInputMessage="1" promptTitle="Payment Type" prompt="Select Payment by &quot;Check/Cash&quot; or &quot;Credit Card&quot;" sqref="B68:C68">
      <formula1>Payment_Type</formula1>
      <formula2>0</formula2>
    </dataValidation>
    <dataValidation type="list" showInputMessage="1" showErrorMessage="1" sqref="B25">
      <formula1>Tents</formula1>
    </dataValidation>
    <dataValidation type="list" showInputMessage="1" showErrorMessage="1" sqref="A49">
      <formula1>AdditionalChoices</formula1>
    </dataValidation>
    <dataValidation type="whole" operator="greaterThan" showInputMessage="1" errorTitle="Child's Plate" error="You must enter a number greater than 3 or delete the number." promptTitle="Child's Plate" prompt="Must be ordered for 3 or more." sqref="B49">
      <formula1>2</formula1>
    </dataValidation>
    <dataValidation errorStyle="information" allowBlank="1" showInputMessage="1" sqref="B50:D50"/>
  </dataValidations>
  <pageMargins left="0.74791666666666667" right="0.74791666666666667" top="0.17291666666666666" bottom="0.51180555555555551" header="0.51180555555555551" footer="0.51180555555555551"/>
  <pageSetup scale="82" firstPageNumber="0" orientation="portrait" horizontalDpi="300" verticalDpi="300" r:id="rId1"/>
  <headerFooter alignWithMargins="0">
    <oddFooter>&amp;R&amp;D &amp;T</oddFooter>
  </headerFooter>
  <rowBreaks count="1" manualBreakCount="1">
    <brk id="7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workbookViewId="0">
      <selection activeCell="C58" sqref="C58"/>
    </sheetView>
  </sheetViews>
  <sheetFormatPr defaultColWidth="8.85546875" defaultRowHeight="12.75" x14ac:dyDescent="0.2"/>
  <cols>
    <col min="1" max="1" width="61.42578125" style="1" customWidth="1"/>
    <col min="2" max="2" width="12.7109375" style="1" customWidth="1"/>
    <col min="3" max="4" width="10" style="1" customWidth="1"/>
    <col min="5" max="5" width="11" style="1" customWidth="1"/>
    <col min="6" max="6" width="10.42578125" style="1" customWidth="1"/>
    <col min="7" max="16384" width="8.85546875" style="1"/>
  </cols>
  <sheetData>
    <row r="1" spans="1:5" ht="21.6" customHeight="1" x14ac:dyDescent="0.2">
      <c r="A1" s="84"/>
      <c r="B1" s="84"/>
      <c r="C1" s="84"/>
      <c r="D1" s="84"/>
      <c r="E1" s="84"/>
    </row>
    <row r="2" spans="1:5" ht="21.6" customHeight="1" x14ac:dyDescent="0.2">
      <c r="A2" s="84"/>
      <c r="B2" s="84"/>
      <c r="C2" s="84"/>
      <c r="D2" s="84"/>
      <c r="E2" s="84"/>
    </row>
    <row r="3" spans="1:5" ht="21.6" customHeight="1" x14ac:dyDescent="0.2">
      <c r="A3" s="84"/>
      <c r="B3" s="84"/>
      <c r="C3" s="84"/>
      <c r="D3" s="84"/>
      <c r="E3" s="84"/>
    </row>
    <row r="4" spans="1:5" ht="21.6" customHeight="1" x14ac:dyDescent="0.2">
      <c r="A4" s="84"/>
      <c r="B4" s="84"/>
      <c r="C4" s="84"/>
      <c r="D4" s="84"/>
      <c r="E4" s="84"/>
    </row>
    <row r="5" spans="1:5" ht="21.6" customHeight="1" x14ac:dyDescent="0.2">
      <c r="A5" s="84"/>
      <c r="B5" s="84"/>
      <c r="C5" s="84"/>
      <c r="D5" s="84"/>
      <c r="E5" s="84"/>
    </row>
    <row r="6" spans="1:5" ht="21.6" customHeight="1" x14ac:dyDescent="0.2">
      <c r="A6" s="84"/>
      <c r="B6" s="84"/>
      <c r="C6" s="84"/>
      <c r="D6" s="84"/>
      <c r="E6" s="84"/>
    </row>
    <row r="7" spans="1:5" ht="12.6" customHeight="1" x14ac:dyDescent="0.2">
      <c r="A7" s="135" t="s">
        <v>71</v>
      </c>
      <c r="B7" s="135"/>
      <c r="C7" s="135"/>
      <c r="D7" s="135"/>
      <c r="E7" s="135"/>
    </row>
    <row r="8" spans="1:5" ht="15.6" customHeight="1" x14ac:dyDescent="0.2">
      <c r="A8" s="135"/>
      <c r="B8" s="135"/>
      <c r="C8" s="135"/>
      <c r="D8" s="135"/>
      <c r="E8" s="135"/>
    </row>
    <row r="9" spans="1:5" x14ac:dyDescent="0.2">
      <c r="A9" s="85" t="s">
        <v>72</v>
      </c>
      <c r="B9" s="86"/>
      <c r="C9" s="86"/>
      <c r="D9" s="86"/>
      <c r="E9" s="86"/>
    </row>
    <row r="10" spans="1:5" ht="15.75" x14ac:dyDescent="0.25">
      <c r="A10" s="87" t="s">
        <v>73</v>
      </c>
      <c r="B10" s="88" t="s">
        <v>74</v>
      </c>
      <c r="C10" s="88"/>
      <c r="D10" s="136">
        <f>'Simple Gatherings'!C8</f>
        <v>41896</v>
      </c>
      <c r="E10" s="136"/>
    </row>
    <row r="11" spans="1:5" x14ac:dyDescent="0.2">
      <c r="A11" s="58"/>
      <c r="B11" s="89" t="s">
        <v>75</v>
      </c>
      <c r="C11" s="89" t="s">
        <v>76</v>
      </c>
      <c r="D11" s="28" t="s">
        <v>77</v>
      </c>
      <c r="E11" s="28" t="s">
        <v>78</v>
      </c>
    </row>
    <row r="12" spans="1:5" x14ac:dyDescent="0.2">
      <c r="A12" s="90" t="s">
        <v>79</v>
      </c>
      <c r="B12" s="91"/>
      <c r="C12" s="91"/>
      <c r="D12" s="92"/>
      <c r="E12" s="92"/>
    </row>
    <row r="13" spans="1:5" x14ac:dyDescent="0.2">
      <c r="A13" s="93" t="s">
        <v>80</v>
      </c>
      <c r="B13" s="94">
        <v>2</v>
      </c>
      <c r="C13" s="94"/>
      <c r="D13" s="26">
        <v>290</v>
      </c>
      <c r="E13" s="26">
        <f t="shared" ref="E13:E18" si="0">IF(OR(C13&lt;&gt;"",C13&lt;&gt;"None"),SUM(D13*C13),0)</f>
        <v>0</v>
      </c>
    </row>
    <row r="14" spans="1:5" x14ac:dyDescent="0.2">
      <c r="A14" s="95" t="s">
        <v>81</v>
      </c>
      <c r="B14" s="94">
        <v>4</v>
      </c>
      <c r="C14" s="94"/>
      <c r="D14" s="26">
        <v>20</v>
      </c>
      <c r="E14" s="26">
        <f t="shared" si="0"/>
        <v>0</v>
      </c>
    </row>
    <row r="15" spans="1:5" x14ac:dyDescent="0.2">
      <c r="A15" s="93" t="s">
        <v>82</v>
      </c>
      <c r="B15" s="94">
        <v>4</v>
      </c>
      <c r="C15" s="94"/>
      <c r="D15" s="26">
        <v>30</v>
      </c>
      <c r="E15" s="26">
        <f t="shared" si="0"/>
        <v>0</v>
      </c>
    </row>
    <row r="16" spans="1:5" x14ac:dyDescent="0.2">
      <c r="A16" s="96" t="s">
        <v>83</v>
      </c>
      <c r="B16" s="94">
        <v>2</v>
      </c>
      <c r="C16" s="94"/>
      <c r="D16" s="26">
        <f>600*1.25</f>
        <v>750</v>
      </c>
      <c r="E16" s="26">
        <f t="shared" si="0"/>
        <v>0</v>
      </c>
    </row>
    <row r="17" spans="1:5" x14ac:dyDescent="0.2">
      <c r="A17" s="93" t="s">
        <v>84</v>
      </c>
      <c r="B17" s="94">
        <v>2</v>
      </c>
      <c r="C17" s="94"/>
      <c r="D17" s="26">
        <v>125</v>
      </c>
      <c r="E17" s="26">
        <f t="shared" si="0"/>
        <v>0</v>
      </c>
    </row>
    <row r="18" spans="1:5" x14ac:dyDescent="0.2">
      <c r="A18" s="96" t="s">
        <v>83</v>
      </c>
      <c r="B18" s="94">
        <v>2</v>
      </c>
      <c r="C18" s="94"/>
      <c r="D18" s="26">
        <f>200*1.25</f>
        <v>250</v>
      </c>
      <c r="E18" s="26">
        <f t="shared" si="0"/>
        <v>0</v>
      </c>
    </row>
    <row r="19" spans="1:5" x14ac:dyDescent="0.2">
      <c r="A19" s="95" t="s">
        <v>85</v>
      </c>
      <c r="B19" s="94">
        <v>300</v>
      </c>
      <c r="C19" s="94"/>
      <c r="D19" s="26">
        <v>2.5</v>
      </c>
      <c r="E19" s="26">
        <v>0</v>
      </c>
    </row>
    <row r="20" spans="1:5" x14ac:dyDescent="0.2">
      <c r="A20" s="93" t="s">
        <v>86</v>
      </c>
      <c r="B20" s="94">
        <v>1</v>
      </c>
      <c r="C20" s="94"/>
      <c r="D20" s="26">
        <v>300</v>
      </c>
      <c r="E20" s="26">
        <f>IF(OR(C20&lt;&gt;"",C20&lt;&gt;"None"),SUM(D20*C20),0)</f>
        <v>0</v>
      </c>
    </row>
    <row r="21" spans="1:5" x14ac:dyDescent="0.2">
      <c r="A21" s="90" t="s">
        <v>87</v>
      </c>
      <c r="B21" s="91"/>
      <c r="C21" s="91"/>
      <c r="D21" s="92"/>
      <c r="E21" s="92"/>
    </row>
    <row r="22" spans="1:5" x14ac:dyDescent="0.2">
      <c r="A22" s="14" t="s">
        <v>88</v>
      </c>
      <c r="B22" s="89">
        <v>16</v>
      </c>
      <c r="C22" s="89"/>
      <c r="D22" s="26">
        <v>3</v>
      </c>
      <c r="E22" s="26">
        <f t="shared" ref="E22:E28" si="1">IF(OR(C22&lt;&gt;"",C22&lt;&gt;"None"),SUM(D22*C22),0)</f>
        <v>0</v>
      </c>
    </row>
    <row r="23" spans="1:5" x14ac:dyDescent="0.2">
      <c r="A23" s="14" t="s">
        <v>89</v>
      </c>
      <c r="B23" s="89">
        <v>10</v>
      </c>
      <c r="C23" s="89"/>
      <c r="D23" s="26">
        <v>3</v>
      </c>
      <c r="E23" s="26">
        <f t="shared" si="1"/>
        <v>0</v>
      </c>
    </row>
    <row r="24" spans="1:5" x14ac:dyDescent="0.2">
      <c r="A24" s="14" t="s">
        <v>90</v>
      </c>
      <c r="B24" s="89">
        <v>18</v>
      </c>
      <c r="C24" s="89"/>
      <c r="D24" s="26">
        <v>2</v>
      </c>
      <c r="E24" s="26">
        <f t="shared" si="1"/>
        <v>0</v>
      </c>
    </row>
    <row r="25" spans="1:5" x14ac:dyDescent="0.2">
      <c r="A25" s="14" t="s">
        <v>91</v>
      </c>
      <c r="B25" s="89">
        <v>40</v>
      </c>
      <c r="C25" s="89"/>
      <c r="D25" s="26">
        <v>2</v>
      </c>
      <c r="E25" s="26">
        <f t="shared" si="1"/>
        <v>0</v>
      </c>
    </row>
    <row r="26" spans="1:5" x14ac:dyDescent="0.2">
      <c r="A26" s="37" t="s">
        <v>92</v>
      </c>
      <c r="B26" s="89">
        <v>200</v>
      </c>
      <c r="C26" s="89"/>
      <c r="D26" s="26">
        <v>0.5</v>
      </c>
      <c r="E26" s="26">
        <f t="shared" si="1"/>
        <v>0</v>
      </c>
    </row>
    <row r="27" spans="1:5" x14ac:dyDescent="0.2">
      <c r="A27" s="37" t="s">
        <v>93</v>
      </c>
      <c r="B27" s="89">
        <v>200</v>
      </c>
      <c r="C27" s="89"/>
      <c r="D27" s="26">
        <v>0.25</v>
      </c>
      <c r="E27" s="26">
        <f t="shared" si="1"/>
        <v>0</v>
      </c>
    </row>
    <row r="28" spans="1:5" x14ac:dyDescent="0.2">
      <c r="A28" s="14" t="s">
        <v>94</v>
      </c>
      <c r="B28" s="89">
        <v>200</v>
      </c>
      <c r="C28" s="89"/>
      <c r="D28" s="26">
        <v>0.25</v>
      </c>
      <c r="E28" s="26">
        <f t="shared" si="1"/>
        <v>0</v>
      </c>
    </row>
    <row r="29" spans="1:5" x14ac:dyDescent="0.2">
      <c r="A29" s="90" t="s">
        <v>95</v>
      </c>
      <c r="B29" s="97"/>
      <c r="C29" s="97"/>
      <c r="D29" s="92"/>
      <c r="E29" s="92"/>
    </row>
    <row r="30" spans="1:5" x14ac:dyDescent="0.2">
      <c r="A30" s="14" t="s">
        <v>96</v>
      </c>
      <c r="B30" s="89">
        <v>6</v>
      </c>
      <c r="C30" s="89"/>
      <c r="D30" s="26">
        <v>25</v>
      </c>
      <c r="E30" s="26">
        <f t="shared" ref="E30:E38" si="2">IF(OR(C30&lt;&gt;"",C30&lt;&gt;"None"),SUM(D30*C30),0)</f>
        <v>0</v>
      </c>
    </row>
    <row r="31" spans="1:5" x14ac:dyDescent="0.2">
      <c r="A31" s="37" t="s">
        <v>97</v>
      </c>
      <c r="B31" s="89">
        <v>200</v>
      </c>
      <c r="C31" s="89"/>
      <c r="D31" s="26">
        <v>0.5</v>
      </c>
      <c r="E31" s="26">
        <f t="shared" si="2"/>
        <v>0</v>
      </c>
    </row>
    <row r="32" spans="1:5" x14ac:dyDescent="0.2">
      <c r="A32" s="37" t="s">
        <v>98</v>
      </c>
      <c r="B32" s="89">
        <v>200</v>
      </c>
      <c r="C32" s="89"/>
      <c r="D32" s="26">
        <v>0.5</v>
      </c>
      <c r="E32" s="26">
        <f t="shared" si="2"/>
        <v>0</v>
      </c>
    </row>
    <row r="33" spans="1:5" x14ac:dyDescent="0.2">
      <c r="A33" s="14" t="s">
        <v>99</v>
      </c>
      <c r="B33" s="89">
        <v>200</v>
      </c>
      <c r="C33" s="89"/>
      <c r="D33" s="26">
        <v>0.75</v>
      </c>
      <c r="E33" s="26">
        <f t="shared" si="2"/>
        <v>0</v>
      </c>
    </row>
    <row r="34" spans="1:5" x14ac:dyDescent="0.2">
      <c r="A34" s="14" t="s">
        <v>100</v>
      </c>
      <c r="B34" s="89">
        <v>2</v>
      </c>
      <c r="C34" s="89"/>
      <c r="D34" s="26">
        <v>20</v>
      </c>
      <c r="E34" s="26">
        <f t="shared" si="2"/>
        <v>0</v>
      </c>
    </row>
    <row r="35" spans="1:5" x14ac:dyDescent="0.2">
      <c r="A35" s="37" t="s">
        <v>101</v>
      </c>
      <c r="B35" s="89">
        <v>85</v>
      </c>
      <c r="C35" s="89"/>
      <c r="D35" s="26">
        <v>0.4</v>
      </c>
      <c r="E35" s="26">
        <f t="shared" si="2"/>
        <v>0</v>
      </c>
    </row>
    <row r="36" spans="1:5" x14ac:dyDescent="0.2">
      <c r="A36" s="37" t="s">
        <v>102</v>
      </c>
      <c r="B36" s="89">
        <v>22</v>
      </c>
      <c r="C36" s="89"/>
      <c r="D36" s="26">
        <v>0.5</v>
      </c>
      <c r="E36" s="26">
        <f t="shared" si="2"/>
        <v>0</v>
      </c>
    </row>
    <row r="37" spans="1:5" x14ac:dyDescent="0.2">
      <c r="A37" s="14" t="s">
        <v>103</v>
      </c>
      <c r="B37" s="89">
        <v>1</v>
      </c>
      <c r="C37" s="89"/>
      <c r="D37" s="26">
        <v>18</v>
      </c>
      <c r="E37" s="26">
        <f t="shared" si="2"/>
        <v>0</v>
      </c>
    </row>
    <row r="38" spans="1:5" x14ac:dyDescent="0.2">
      <c r="A38" s="37" t="s">
        <v>104</v>
      </c>
      <c r="B38" s="89">
        <v>32</v>
      </c>
      <c r="C38" s="89"/>
      <c r="D38" s="26">
        <v>0.65</v>
      </c>
      <c r="E38" s="26">
        <f t="shared" si="2"/>
        <v>0</v>
      </c>
    </row>
    <row r="39" spans="1:5" x14ac:dyDescent="0.2">
      <c r="A39" s="98" t="s">
        <v>105</v>
      </c>
      <c r="B39" s="91"/>
      <c r="C39" s="91"/>
      <c r="D39" s="92"/>
      <c r="E39" s="92"/>
    </row>
    <row r="40" spans="1:5" x14ac:dyDescent="0.2">
      <c r="A40" s="14" t="s">
        <v>106</v>
      </c>
      <c r="B40" s="89">
        <v>4</v>
      </c>
      <c r="C40" s="89"/>
      <c r="D40" s="26">
        <v>55</v>
      </c>
      <c r="E40" s="26">
        <f t="shared" ref="E40:E46" si="3">IF(OR(C40&lt;&gt;"",C40&lt;&gt;"None"),SUM(D40*C40),0)</f>
        <v>0</v>
      </c>
    </row>
    <row r="41" spans="1:5" x14ac:dyDescent="0.2">
      <c r="A41" s="14" t="s">
        <v>107</v>
      </c>
      <c r="B41" s="89">
        <v>4</v>
      </c>
      <c r="C41" s="89"/>
      <c r="D41" s="26">
        <v>35</v>
      </c>
      <c r="E41" s="26">
        <f t="shared" si="3"/>
        <v>0</v>
      </c>
    </row>
    <row r="42" spans="1:5" x14ac:dyDescent="0.2">
      <c r="A42" s="14" t="s">
        <v>108</v>
      </c>
      <c r="B42" s="89">
        <v>2</v>
      </c>
      <c r="C42" s="89"/>
      <c r="D42" s="26">
        <v>20</v>
      </c>
      <c r="E42" s="26">
        <f t="shared" si="3"/>
        <v>0</v>
      </c>
    </row>
    <row r="43" spans="1:5" x14ac:dyDescent="0.2">
      <c r="A43" s="14" t="s">
        <v>109</v>
      </c>
      <c r="B43" s="89">
        <v>1</v>
      </c>
      <c r="C43" s="89"/>
      <c r="D43" s="26">
        <v>45</v>
      </c>
      <c r="E43" s="26">
        <f t="shared" si="3"/>
        <v>0</v>
      </c>
    </row>
    <row r="44" spans="1:5" x14ac:dyDescent="0.2">
      <c r="A44" s="25" t="s">
        <v>110</v>
      </c>
      <c r="B44" s="94">
        <v>2</v>
      </c>
      <c r="C44" s="94"/>
      <c r="D44" s="26">
        <v>25</v>
      </c>
      <c r="E44" s="26">
        <f t="shared" si="3"/>
        <v>0</v>
      </c>
    </row>
    <row r="45" spans="1:5" x14ac:dyDescent="0.2">
      <c r="A45" s="99" t="s">
        <v>111</v>
      </c>
      <c r="B45" s="94">
        <v>2</v>
      </c>
      <c r="C45" s="94"/>
      <c r="D45" s="26">
        <v>85</v>
      </c>
      <c r="E45" s="26">
        <f t="shared" si="3"/>
        <v>0</v>
      </c>
    </row>
    <row r="46" spans="1:5" x14ac:dyDescent="0.2">
      <c r="A46" s="14" t="s">
        <v>112</v>
      </c>
      <c r="B46" s="89">
        <v>1</v>
      </c>
      <c r="C46" s="89"/>
      <c r="D46" s="26">
        <v>60</v>
      </c>
      <c r="E46" s="26">
        <f t="shared" si="3"/>
        <v>0</v>
      </c>
    </row>
    <row r="47" spans="1:5" x14ac:dyDescent="0.2">
      <c r="A47" s="98" t="s">
        <v>113</v>
      </c>
      <c r="B47" s="97"/>
      <c r="C47" s="97"/>
      <c r="D47" s="92"/>
      <c r="E47" s="92"/>
    </row>
    <row r="48" spans="1:5" x14ac:dyDescent="0.2">
      <c r="A48" s="14" t="s">
        <v>114</v>
      </c>
      <c r="B48" s="89">
        <v>17</v>
      </c>
      <c r="C48" s="89"/>
      <c r="D48" s="26">
        <v>10</v>
      </c>
      <c r="E48" s="26">
        <v>0</v>
      </c>
    </row>
    <row r="49" spans="1:5" x14ac:dyDescent="0.2">
      <c r="A49" s="14" t="s">
        <v>13</v>
      </c>
      <c r="B49" s="89">
        <v>10</v>
      </c>
      <c r="C49" s="89"/>
      <c r="D49" s="26">
        <v>16</v>
      </c>
      <c r="E49" s="26">
        <f>IF(OR(C49&lt;&gt;"",C49&lt;&gt;"None"),SUM(D49*C49),0)</f>
        <v>0</v>
      </c>
    </row>
    <row r="50" spans="1:5" x14ac:dyDescent="0.2">
      <c r="A50" s="14" t="s">
        <v>15</v>
      </c>
      <c r="B50" s="89">
        <v>20</v>
      </c>
      <c r="C50" s="89"/>
      <c r="D50" s="26">
        <v>12.5</v>
      </c>
      <c r="E50" s="26">
        <f>IF(OR(C50&lt;&gt;"",C50&lt;&gt;"None"),SUM(D50*C50),0)</f>
        <v>0</v>
      </c>
    </row>
    <row r="51" spans="1:5" x14ac:dyDescent="0.2">
      <c r="A51" s="14" t="s">
        <v>115</v>
      </c>
      <c r="B51" s="89">
        <v>14</v>
      </c>
      <c r="C51" s="89"/>
      <c r="D51" s="26">
        <v>14</v>
      </c>
      <c r="E51" s="26">
        <v>0</v>
      </c>
    </row>
    <row r="52" spans="1:5" x14ac:dyDescent="0.2">
      <c r="A52" s="37" t="s">
        <v>116</v>
      </c>
      <c r="B52" s="89">
        <v>14</v>
      </c>
      <c r="C52" s="89"/>
      <c r="D52" s="26">
        <v>12.5</v>
      </c>
      <c r="E52" s="26">
        <f t="shared" ref="E52:E61" si="4">IF(OR(C52&lt;&gt;"",C52&lt;&gt;"None"),SUM(D52*C52),0)</f>
        <v>0</v>
      </c>
    </row>
    <row r="53" spans="1:5" x14ac:dyDescent="0.2">
      <c r="A53" s="14" t="s">
        <v>117</v>
      </c>
      <c r="B53" s="89">
        <v>9</v>
      </c>
      <c r="C53" s="89"/>
      <c r="D53" s="26">
        <v>12.5</v>
      </c>
      <c r="E53" s="26">
        <f t="shared" si="4"/>
        <v>0</v>
      </c>
    </row>
    <row r="54" spans="1:5" x14ac:dyDescent="0.2">
      <c r="A54" s="37" t="s">
        <v>118</v>
      </c>
      <c r="B54" s="89">
        <v>10</v>
      </c>
      <c r="C54" s="89"/>
      <c r="D54" s="26">
        <v>6.25</v>
      </c>
      <c r="E54" s="26">
        <f t="shared" si="4"/>
        <v>0</v>
      </c>
    </row>
    <row r="55" spans="1:5" x14ac:dyDescent="0.2">
      <c r="A55" s="37" t="s">
        <v>119</v>
      </c>
      <c r="B55" s="89">
        <v>10</v>
      </c>
      <c r="C55" s="89"/>
      <c r="D55" s="26">
        <v>6.25</v>
      </c>
      <c r="E55" s="26">
        <f t="shared" si="4"/>
        <v>0</v>
      </c>
    </row>
    <row r="56" spans="1:5" x14ac:dyDescent="0.2">
      <c r="A56" s="14" t="s">
        <v>120</v>
      </c>
      <c r="B56" s="89">
        <v>200</v>
      </c>
      <c r="C56" s="89"/>
      <c r="D56" s="26">
        <v>0.7</v>
      </c>
      <c r="E56" s="26">
        <f t="shared" si="4"/>
        <v>0</v>
      </c>
    </row>
    <row r="57" spans="1:5" x14ac:dyDescent="0.2">
      <c r="A57" s="14" t="s">
        <v>121</v>
      </c>
      <c r="B57" s="89">
        <v>10</v>
      </c>
      <c r="C57" s="89"/>
      <c r="D57" s="26">
        <v>3</v>
      </c>
      <c r="E57" s="26">
        <f t="shared" si="4"/>
        <v>0</v>
      </c>
    </row>
    <row r="58" spans="1:5" x14ac:dyDescent="0.2">
      <c r="A58" s="14" t="s">
        <v>122</v>
      </c>
      <c r="B58" s="89">
        <v>10</v>
      </c>
      <c r="C58" s="89"/>
      <c r="D58" s="26">
        <v>7.5</v>
      </c>
      <c r="E58" s="26">
        <f t="shared" si="4"/>
        <v>0</v>
      </c>
    </row>
    <row r="59" spans="1:5" x14ac:dyDescent="0.2">
      <c r="A59" s="14" t="s">
        <v>123</v>
      </c>
      <c r="B59" s="89">
        <v>2</v>
      </c>
      <c r="C59" s="89"/>
      <c r="D59" s="26">
        <v>12</v>
      </c>
      <c r="E59" s="26">
        <f t="shared" si="4"/>
        <v>0</v>
      </c>
    </row>
    <row r="60" spans="1:5" x14ac:dyDescent="0.2">
      <c r="A60" s="14" t="s">
        <v>124</v>
      </c>
      <c r="B60" s="89">
        <v>24</v>
      </c>
      <c r="C60" s="89"/>
      <c r="D60" s="26">
        <v>3</v>
      </c>
      <c r="E60" s="26">
        <f t="shared" si="4"/>
        <v>0</v>
      </c>
    </row>
    <row r="61" spans="1:5" x14ac:dyDescent="0.2">
      <c r="A61" s="14" t="s">
        <v>125</v>
      </c>
      <c r="B61" s="89">
        <v>24</v>
      </c>
      <c r="C61" s="89"/>
      <c r="D61" s="26">
        <v>5</v>
      </c>
      <c r="E61" s="26">
        <f t="shared" si="4"/>
        <v>0</v>
      </c>
    </row>
    <row r="62" spans="1:5" x14ac:dyDescent="0.2">
      <c r="A62" s="98" t="s">
        <v>30</v>
      </c>
      <c r="B62" s="97"/>
      <c r="C62" s="97"/>
      <c r="D62" s="92"/>
      <c r="E62" s="92"/>
    </row>
    <row r="63" spans="1:5" x14ac:dyDescent="0.2">
      <c r="A63" s="14" t="s">
        <v>126</v>
      </c>
      <c r="B63" s="89">
        <v>1</v>
      </c>
      <c r="C63" s="89"/>
      <c r="D63" s="26">
        <v>80</v>
      </c>
      <c r="E63" s="26">
        <f>IF(OR(C63&lt;&gt;"",C63&lt;&gt;"None"),SUM(D63*C63),0)</f>
        <v>0</v>
      </c>
    </row>
    <row r="64" spans="1:5" x14ac:dyDescent="0.2">
      <c r="A64" s="14" t="s">
        <v>127</v>
      </c>
      <c r="B64" s="89">
        <v>3</v>
      </c>
      <c r="C64" s="89"/>
      <c r="D64" s="26">
        <v>40</v>
      </c>
      <c r="E64" s="26">
        <f>IF(OR(C64&lt;&gt;"",C64&lt;&gt;"None"),SUM(D64*C64),0)</f>
        <v>0</v>
      </c>
    </row>
    <row r="65" spans="1:5" x14ac:dyDescent="0.2">
      <c r="A65" s="14" t="s">
        <v>128</v>
      </c>
      <c r="B65" s="89">
        <v>2</v>
      </c>
      <c r="C65" s="89"/>
      <c r="D65" s="26">
        <v>35</v>
      </c>
      <c r="E65" s="26">
        <f>IF(OR(C65&lt;&gt;"",C65&lt;&gt;"None"),SUM(D65*C65),0)</f>
        <v>0</v>
      </c>
    </row>
    <row r="66" spans="1:5" ht="7.9" customHeight="1" x14ac:dyDescent="0.2">
      <c r="A66" s="100"/>
      <c r="B66" s="91"/>
      <c r="C66" s="91"/>
      <c r="D66" s="92"/>
      <c r="E66" s="92"/>
    </row>
    <row r="67" spans="1:5" x14ac:dyDescent="0.2">
      <c r="A67" s="137" t="s">
        <v>129</v>
      </c>
      <c r="B67" s="137"/>
      <c r="C67" s="137"/>
      <c r="D67" s="137"/>
      <c r="E67" s="101">
        <f>SUM(E13:E62)</f>
        <v>0</v>
      </c>
    </row>
    <row r="68" spans="1:5" x14ac:dyDescent="0.2">
      <c r="A68" s="25" t="s">
        <v>130</v>
      </c>
      <c r="B68" s="52">
        <v>0.06</v>
      </c>
      <c r="C68" s="52"/>
      <c r="D68" s="26"/>
      <c r="E68" s="26">
        <f>E67*B68</f>
        <v>0</v>
      </c>
    </row>
    <row r="69" spans="1:5" x14ac:dyDescent="0.2">
      <c r="A69" s="137" t="s">
        <v>70</v>
      </c>
      <c r="B69" s="137"/>
      <c r="C69" s="137"/>
      <c r="D69" s="137"/>
      <c r="E69" s="101">
        <f>E67+E68</f>
        <v>0</v>
      </c>
    </row>
    <row r="70" spans="1:5" x14ac:dyDescent="0.2">
      <c r="A70" s="102" t="s">
        <v>131</v>
      </c>
      <c r="B70" s="80"/>
      <c r="C70" s="80"/>
      <c r="D70" s="80"/>
      <c r="E70" s="80"/>
    </row>
    <row r="71" spans="1:5" x14ac:dyDescent="0.2">
      <c r="A71" s="103"/>
    </row>
  </sheetData>
  <sheetProtection selectLockedCells="1" selectUnlockedCells="1"/>
  <mergeCells count="4">
    <mergeCell ref="A7:E8"/>
    <mergeCell ref="D10:E10"/>
    <mergeCell ref="A67:D67"/>
    <mergeCell ref="A69:D69"/>
  </mergeCells>
  <dataValidations count="32">
    <dataValidation type="whole" operator="lessThanOrEqual" allowBlank="1" showInputMessage="1" showErrorMessage="1" errorTitle="Maximum Number" error="Teh Maximum Number is 2" promptTitle="Tents" prompt="The Maximum Number is 2" sqref="B13:C13 B17:C17">
      <formula1>2</formula1>
      <formula2>0</formula2>
    </dataValidation>
    <dataValidation type="whole" operator="lessThanOrEqual" allowBlank="1" showInputMessage="1" showErrorMessage="1" errorTitle="Maximum Number" error="The Maximum Number is 4" promptTitle="Tent Sides" prompt="The Maximum Number is 4" sqref="B14:C15">
      <formula1>4</formula1>
      <formula2>0</formula2>
    </dataValidation>
    <dataValidation type="whole" operator="lessThanOrEqual" allowBlank="1" showInputMessage="1" showErrorMessage="1" errorTitle="Maximum Number" error="Teh Maximum Number is 2" promptTitle="Tent Floors" prompt="The Maximum Number is 2" sqref="B16:C16 B18:C18">
      <formula1>2</formula1>
      <formula2>0</formula2>
    </dataValidation>
    <dataValidation type="whole" errorStyle="warning" operator="lessThan" allowBlank="1" showInputMessage="1" showErrorMessage="1" errorTitle="White Wedding Chairs" error="The maximum number is 340!" promptTitle="White Wedding Chairs" prompt="The Maximum number of _x000a_White wedding Chairs_x000a_to rent is 340" sqref="B19:C19">
      <formula1>341</formula1>
      <formula2>0</formula2>
    </dataValidation>
    <dataValidation type="whole" operator="lessThanOrEqual" allowBlank="1" showInputMessage="1" showErrorMessage="1" errorTitle="Dance Floor" error="The Maximum Number is 1" promptTitle="Dance Floor" prompt="There is only one Dance Floor" sqref="B20:C20">
      <formula1>1</formula1>
      <formula2>0</formula2>
    </dataValidation>
    <dataValidation type="whole" operator="lessThanOrEqual" allowBlank="1" showInputMessage="1" showErrorMessage="1" errorTitle="Serving Dishes" error="Maximum Number is 16!" promptTitle="Serving Dishes" prompt="The Maximum Number_x000a_available for Rental is 16" sqref="B22:C22">
      <formula1>16</formula1>
      <formula2>0</formula2>
    </dataValidation>
    <dataValidation type="whole" operator="lessThanOrEqual" allowBlank="1" showInputMessage="1" showErrorMessage="1" errorTitle="Large Serving Bowls" error="The Maximum Number is 10" promptTitle="Large Serving Bowls" prompt="The Maximum Number is 10" sqref="B23:C23">
      <formula1>10</formula1>
      <formula2>0</formula2>
    </dataValidation>
    <dataValidation type="whole" operator="lessThanOrEqual" allowBlank="1" showInputMessage="1" showErrorMessage="1" errorTitle="Small Serving Bowls" error="The Maxmimum Number is 18" promptTitle="Small Serving Bowls" prompt="The Maxmimum Number is 18" sqref="B24:C24">
      <formula1>18</formula1>
      <formula2>0</formula2>
    </dataValidation>
    <dataValidation type="whole" operator="lessThanOrEqual" allowBlank="1" showInputMessage="1" showErrorMessage="1" errorTitle="Serving Utensils" error="The Maximum Number is 40" promptTitle="Serving Utensils" prompt="The Maximum Number is 40" sqref="B25:C25">
      <formula1>40</formula1>
      <formula2>0</formula2>
    </dataValidation>
    <dataValidation type="whole" operator="lessThanOrEqual" allowBlank="1" showInputMessage="1" showErrorMessage="1" errorTitle="Place Settings" error="The Maximum Number is 200" promptTitle="Place Settings" prompt="The Maximum Number is 200" sqref="B26:C28">
      <formula1>200</formula1>
      <formula2>0</formula2>
    </dataValidation>
    <dataValidation type="whole" operator="lessThanOrEqual" allowBlank="1" showInputMessage="1" showErrorMessage="1" errorTitle="Glass Urns" error="The Maximum Number is 6" promptTitle="Glass Urns" prompt="The Maximum Number is 6" sqref="B30:C30">
      <formula1>6</formula1>
      <formula2>0</formula2>
    </dataValidation>
    <dataValidation type="whole" operator="lessThanOrEqual" allowBlank="1" showInputMessage="1" showErrorMessage="1" errorTitle="Place Setings" error="The Maximum Number is 200" promptTitle="Place Settings" prompt="The Maximum Number is 200" sqref="B31:C33 B56:C61">
      <formula1>200</formula1>
      <formula2>0</formula2>
    </dataValidation>
    <dataValidation type="whole" operator="lessThanOrEqual" allowBlank="1" showInputMessage="1" showErrorMessage="1" errorTitle="Maximum Number" error="The Maximum Number is 2" promptTitle="Coffee Makers" prompt="There are only 2" sqref="B34:C34">
      <formula1>2</formula1>
      <formula2>0</formula2>
    </dataValidation>
    <dataValidation type="whole" operator="lessThanOrEqual" allowBlank="1" showInputMessage="1" showErrorMessage="1" errorTitle="Cups" error="The Maximum Number is 85" promptTitle="Cups" prompt="The Maximum Number is 85" sqref="B35:C35">
      <formula1>85</formula1>
      <formula2>0</formula2>
    </dataValidation>
    <dataValidation type="whole" operator="lessThanOrEqual" allowBlank="1" showInputMessage="1" showErrorMessage="1" errorTitle="Clear Glass Cups" error="The Maximum Number is 22" promptTitle="Clear Glass Cups" prompt="The Maximum Number is 22" sqref="B36:C36">
      <formula1>22</formula1>
      <formula2>0</formula2>
    </dataValidation>
    <dataValidation type="whole" operator="lessThanOrEqual" allowBlank="1" showInputMessage="1" showErrorMessage="1" errorTitle="Maximum Number" error="The Maximum Number is 1" promptTitle="Punch Bowl" prompt="There is only one" sqref="B37:C37">
      <formula1>1</formula1>
      <formula2>0</formula2>
    </dataValidation>
    <dataValidation type="whole" operator="lessThanOrEqual" allowBlank="1" showInputMessage="1" showErrorMessage="1" errorTitle="Punch Bowl Glasses" error="The Maximum Number is 32" promptTitle="Punch Bowl Glasses" prompt="The Maximum Number is 32" sqref="B38:C38">
      <formula1>32</formula1>
      <formula2>0</formula2>
    </dataValidation>
    <dataValidation type="whole" operator="lessThanOrEqual" allowBlank="1" showInputMessage="1" showErrorMessage="1" errorTitle="Maximum Number" error="The Maximum Number is 4" promptTitle="Chaffing Dishes" prompt="There are four" sqref="B40:C41">
      <formula1>4</formula1>
      <formula2>0</formula2>
    </dataValidation>
    <dataValidation type="whole" operator="lessThanOrEqual" allowBlank="1" showInputMessage="1" showErrorMessage="1" errorTitle="Chaffing Dishes" error="The Maximum Number is 2" promptTitle="Sterno Chaffing Dishes" prompt="There are two" sqref="B42:C42">
      <formula1>2</formula1>
      <formula2>0</formula2>
    </dataValidation>
    <dataValidation type="whole" operator="lessThanOrEqual" allowBlank="1" showInputMessage="1" showErrorMessage="1" errorTitle="One Available" error="The Maximum Number is 1" promptTitle="Heat Lamp" prompt="There is only one" sqref="B43:C43">
      <formula1>1</formula1>
      <formula2>0</formula2>
    </dataValidation>
    <dataValidation type="whole" operator="lessThanOrEqual" allowBlank="1" showInputMessage="1" showErrorMessage="1" errorTitle="Cake Platforms" error="The Maximum Number is 2" promptTitle="Cake Platforms" prompt="There are two" sqref="B44:C44">
      <formula1>2</formula1>
      <formula2>0</formula2>
    </dataValidation>
    <dataValidation type="whole" operator="lessThanOrEqual" allowBlank="1" showInputMessage="1" showErrorMessage="1" errorTitle="Maximum Number" error="The Maximum Number is 2" promptTitle="Chocolate Fountains" prompt="There are only 2" sqref="B45:C45">
      <formula1>2</formula1>
      <formula2>0</formula2>
    </dataValidation>
    <dataValidation type="whole" operator="lessThanOrEqual" allowBlank="1" showInputMessage="1" showErrorMessage="1" errorTitle="One Available" error="The Maximum Number is 1" promptTitle="Popcorn Popper" prompt="There is only one" sqref="B46:C46">
      <formula1>1</formula1>
      <formula2>0</formula2>
    </dataValidation>
    <dataValidation type="whole" operator="lessThanOrEqual" allowBlank="1" showInputMessage="1" showErrorMessage="1" errorTitle="Maximum Number" error="The Maximum Number is 17" promptTitle="Six-Foot Banquet Tables" prompt="There are seventeen available" sqref="B48:C48">
      <formula1>17</formula1>
      <formula2>0</formula2>
    </dataValidation>
    <dataValidation type="whole" operator="lessThanOrEqual" allowBlank="1" showInputMessage="1" showErrorMessage="1" errorTitle="Only Ten Available" error="The Maximum Number is 10" promptTitle="Ten Available" prompt="There are ten" sqref="B49:C49 B54:C54">
      <formula1>10</formula1>
      <formula2>0</formula2>
    </dataValidation>
    <dataValidation type="whole" operator="lessThanOrEqual" allowBlank="1" showInputMessage="1" showErrorMessage="1" errorTitle="Table Cloths" error="The Maximum Number is 20" promptTitle="Rectangular Table Cloths" prompt="The Maximum Number is 20" sqref="B50:C50">
      <formula1>20</formula1>
      <formula2>0</formula2>
    </dataValidation>
    <dataValidation type="whole" operator="lessThanOrEqual" allowBlank="1" showInputMessage="1" showErrorMessage="1" errorTitle="Maximum Number" error="The Maximum Number is 14" promptTitle="Fourteen Available" prompt="The Maximum Number is 14" sqref="B51:C52">
      <formula1>14</formula1>
      <formula2>0</formula2>
    </dataValidation>
    <dataValidation type="whole" operator="lessThanOrEqual" allowBlank="1" showInputMessage="1" showErrorMessage="1" errorTitle="Maximum Number" error="The Maximum Number is 9" promptTitle="Nine Available" prompt="The Maximum Number is 9" sqref="B53:C53">
      <formula1>9</formula1>
      <formula2>0</formula2>
    </dataValidation>
    <dataValidation type="whole" operator="lessThanOrEqual" allowBlank="1" showInputMessage="1" showErrorMessage="1" errorTitle="Maximum Number" error="The Maximum Number is 10" promptTitle="Black Table Cloths" prompt="There are 10" sqref="B55:C55">
      <formula1>10</formula1>
      <formula2>0</formula2>
    </dataValidation>
    <dataValidation type="whole" operator="lessThanOrEqual" allowBlank="1" showInputMessage="1" showErrorMessage="1" errorTitle="One Available" error="The Maximum Number is 1" promptTitle="Only one Available" prompt="There is only one" sqref="B63:C63">
      <formula1>1</formula1>
      <formula2>0</formula2>
    </dataValidation>
    <dataValidation type="whole" operator="lessThanOrEqual" allowBlank="1" showInputMessage="1" showErrorMessage="1" errorTitle="Maximum Number" error="The Maximum Number is 3" promptTitle="Patio Heaters" prompt="There are three available" sqref="B64:C64">
      <formula1>3</formula1>
      <formula2>0</formula2>
    </dataValidation>
    <dataValidation type="whole" operator="lessThanOrEqual" allowBlank="1" showInputMessage="1" showErrorMessage="1" errorTitle="Maximum Number" error="The Maximum Number is 2" promptTitle="Maximum Number is 2" prompt="There are only 2" sqref="B65:C65">
      <formula1>2</formula1>
      <formula2>0</formula2>
    </dataValidation>
  </dataValidations>
  <hyperlinks>
    <hyperlink ref="A9" r:id="rId1"/>
  </hyperlinks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workbookViewId="0">
      <selection activeCell="B23" sqref="B23"/>
    </sheetView>
  </sheetViews>
  <sheetFormatPr defaultColWidth="11.5703125" defaultRowHeight="12.75" customHeight="1" x14ac:dyDescent="0.2"/>
  <cols>
    <col min="1" max="1" width="11.5703125" style="1"/>
    <col min="2" max="2" width="58" style="1" customWidth="1"/>
    <col min="3" max="5" width="11.5703125" style="1"/>
    <col min="6" max="6" width="21.140625" style="1" customWidth="1"/>
    <col min="7" max="16384" width="11.5703125" style="1"/>
  </cols>
  <sheetData>
    <row r="1" spans="1:6" ht="12.75" customHeight="1" x14ac:dyDescent="0.2">
      <c r="A1" s="104"/>
      <c r="B1" s="104" t="s">
        <v>1</v>
      </c>
      <c r="C1" s="104"/>
      <c r="E1" s="104"/>
      <c r="F1" s="105" t="s">
        <v>132</v>
      </c>
    </row>
    <row r="2" spans="1:6" ht="12.75" customHeight="1" x14ac:dyDescent="0.2">
      <c r="A2" s="106">
        <v>1</v>
      </c>
      <c r="B2" s="107" t="s">
        <v>133</v>
      </c>
      <c r="C2" s="107"/>
      <c r="E2" s="106">
        <v>1</v>
      </c>
      <c r="F2" s="108" t="s">
        <v>134</v>
      </c>
    </row>
    <row r="3" spans="1:6" ht="12.75" customHeight="1" x14ac:dyDescent="0.2">
      <c r="A3" s="106">
        <v>2</v>
      </c>
      <c r="B3" s="107" t="s">
        <v>2</v>
      </c>
      <c r="C3" s="107"/>
      <c r="E3" s="106">
        <v>2</v>
      </c>
      <c r="F3" s="108" t="s">
        <v>135</v>
      </c>
    </row>
    <row r="4" spans="1:6" ht="12.75" customHeight="1" x14ac:dyDescent="0.2">
      <c r="A4" s="106">
        <v>3</v>
      </c>
      <c r="B4" s="107" t="s">
        <v>136</v>
      </c>
      <c r="C4" s="107"/>
      <c r="E4" s="106">
        <v>3</v>
      </c>
      <c r="F4" s="108" t="s">
        <v>137</v>
      </c>
    </row>
    <row r="5" spans="1:6" ht="12.75" customHeight="1" x14ac:dyDescent="0.2">
      <c r="E5" s="106">
        <v>4</v>
      </c>
      <c r="F5" s="108" t="s">
        <v>7</v>
      </c>
    </row>
    <row r="6" spans="1:6" ht="12.75" customHeight="1" x14ac:dyDescent="0.2">
      <c r="A6" s="104"/>
      <c r="B6" s="105" t="s">
        <v>138</v>
      </c>
      <c r="E6" s="106">
        <v>5</v>
      </c>
      <c r="F6" s="108" t="s">
        <v>139</v>
      </c>
    </row>
    <row r="7" spans="1:6" ht="12.75" customHeight="1" x14ac:dyDescent="0.2">
      <c r="A7" s="106">
        <v>1</v>
      </c>
      <c r="B7" s="108">
        <v>1</v>
      </c>
    </row>
    <row r="8" spans="1:6" ht="12.75" customHeight="1" x14ac:dyDescent="0.2">
      <c r="A8" s="106">
        <v>2</v>
      </c>
      <c r="B8" s="108">
        <v>2</v>
      </c>
      <c r="E8" s="104"/>
      <c r="F8" s="104" t="s">
        <v>140</v>
      </c>
    </row>
    <row r="9" spans="1:6" ht="12.75" customHeight="1" x14ac:dyDescent="0.2">
      <c r="A9" s="109"/>
      <c r="B9" s="110"/>
      <c r="E9" s="106">
        <v>1</v>
      </c>
      <c r="F9" s="107" t="s">
        <v>22</v>
      </c>
    </row>
    <row r="10" spans="1:6" ht="12.75" customHeight="1" x14ac:dyDescent="0.2">
      <c r="A10" s="104"/>
      <c r="B10" s="105" t="s">
        <v>141</v>
      </c>
      <c r="E10" s="106">
        <v>2</v>
      </c>
      <c r="F10" s="107" t="s">
        <v>40</v>
      </c>
    </row>
    <row r="11" spans="1:6" ht="12.75" customHeight="1" x14ac:dyDescent="0.2">
      <c r="A11" s="106">
        <v>1</v>
      </c>
      <c r="B11" s="108" t="s">
        <v>66</v>
      </c>
    </row>
    <row r="12" spans="1:6" ht="12.75" customHeight="1" x14ac:dyDescent="0.2">
      <c r="A12" s="106">
        <v>2</v>
      </c>
      <c r="B12" s="108" t="s">
        <v>142</v>
      </c>
      <c r="E12" s="104"/>
      <c r="F12" s="105" t="s">
        <v>5</v>
      </c>
    </row>
    <row r="13" spans="1:6" ht="12.75" customHeight="1" x14ac:dyDescent="0.2">
      <c r="E13" s="106">
        <v>1</v>
      </c>
      <c r="F13" s="108" t="s">
        <v>6</v>
      </c>
    </row>
    <row r="14" spans="1:6" ht="12.75" customHeight="1" x14ac:dyDescent="0.2">
      <c r="A14" s="104"/>
      <c r="B14" s="104" t="s">
        <v>1</v>
      </c>
      <c r="C14" s="104"/>
      <c r="E14" s="106">
        <v>2</v>
      </c>
      <c r="F14" s="108" t="s">
        <v>143</v>
      </c>
    </row>
    <row r="15" spans="1:6" ht="12.75" customHeight="1" x14ac:dyDescent="0.2">
      <c r="A15" s="106">
        <v>1</v>
      </c>
      <c r="B15" s="107" t="s">
        <v>133</v>
      </c>
      <c r="C15" s="107"/>
      <c r="E15" s="106">
        <v>3</v>
      </c>
      <c r="F15" s="108" t="s">
        <v>144</v>
      </c>
    </row>
    <row r="16" spans="1:6" ht="12.75" customHeight="1" x14ac:dyDescent="0.2">
      <c r="A16" s="106">
        <v>2</v>
      </c>
      <c r="B16" s="107" t="s">
        <v>2</v>
      </c>
      <c r="C16" s="107"/>
      <c r="E16" s="106">
        <v>4</v>
      </c>
      <c r="F16" s="108" t="s">
        <v>145</v>
      </c>
    </row>
    <row r="17" spans="1:6" ht="12.75" customHeight="1" x14ac:dyDescent="0.2">
      <c r="F17" s="111"/>
    </row>
    <row r="18" spans="1:6" ht="12.75" customHeight="1" x14ac:dyDescent="0.2">
      <c r="A18" s="104"/>
      <c r="B18" s="105" t="s">
        <v>177</v>
      </c>
      <c r="C18" s="105"/>
    </row>
    <row r="19" spans="1:6" ht="12.75" customHeight="1" x14ac:dyDescent="0.2">
      <c r="A19" s="106">
        <v>1</v>
      </c>
      <c r="B19" s="112"/>
      <c r="C19" s="112"/>
      <c r="E19" s="104"/>
      <c r="F19" s="105" t="s">
        <v>147</v>
      </c>
    </row>
    <row r="20" spans="1:6" ht="12.75" customHeight="1" x14ac:dyDescent="0.2">
      <c r="A20" s="106">
        <v>2</v>
      </c>
      <c r="B20" s="112" t="s">
        <v>175</v>
      </c>
      <c r="C20" s="112"/>
      <c r="E20" s="106">
        <v>1</v>
      </c>
      <c r="F20" s="108" t="s">
        <v>148</v>
      </c>
    </row>
    <row r="21" spans="1:6" ht="12.75" customHeight="1" x14ac:dyDescent="0.2">
      <c r="A21" s="106"/>
      <c r="B21" s="112" t="s">
        <v>176</v>
      </c>
      <c r="C21" s="112"/>
      <c r="E21" s="106">
        <v>2</v>
      </c>
      <c r="F21" s="108" t="s">
        <v>149</v>
      </c>
    </row>
    <row r="22" spans="1:6" ht="12.75" customHeight="1" x14ac:dyDescent="0.2">
      <c r="A22" s="106">
        <v>3</v>
      </c>
      <c r="B22" s="112" t="s">
        <v>178</v>
      </c>
      <c r="C22" s="112"/>
    </row>
    <row r="23" spans="1:6" ht="12.75" customHeight="1" x14ac:dyDescent="0.2">
      <c r="A23" s="106">
        <v>4</v>
      </c>
      <c r="B23" s="112"/>
      <c r="C23" s="112"/>
    </row>
    <row r="24" spans="1:6" ht="12.75" customHeight="1" x14ac:dyDescent="0.2">
      <c r="A24" s="106">
        <v>5</v>
      </c>
      <c r="B24" s="112"/>
      <c r="C24" s="112"/>
      <c r="E24" s="104"/>
      <c r="F24" s="105" t="s">
        <v>150</v>
      </c>
    </row>
    <row r="25" spans="1:6" ht="12.75" customHeight="1" x14ac:dyDescent="0.2">
      <c r="A25" s="106"/>
      <c r="B25" s="112"/>
      <c r="C25" s="112"/>
      <c r="E25" s="106">
        <v>1</v>
      </c>
      <c r="F25" s="108" t="s">
        <v>25</v>
      </c>
    </row>
    <row r="26" spans="1:6" ht="12.75" customHeight="1" x14ac:dyDescent="0.2">
      <c r="A26" s="106"/>
      <c r="B26" s="112"/>
      <c r="C26" s="112"/>
      <c r="E26" s="106">
        <v>2</v>
      </c>
      <c r="F26" s="108">
        <v>1</v>
      </c>
    </row>
    <row r="27" spans="1:6" ht="12.75" customHeight="1" x14ac:dyDescent="0.2">
      <c r="E27" s="106">
        <v>3</v>
      </c>
      <c r="F27" s="108">
        <v>2</v>
      </c>
    </row>
    <row r="28" spans="1:6" ht="12.75" customHeight="1" x14ac:dyDescent="0.2">
      <c r="A28" s="104"/>
      <c r="B28" s="104" t="s">
        <v>151</v>
      </c>
      <c r="C28" s="104"/>
      <c r="D28" s="104" t="s">
        <v>146</v>
      </c>
      <c r="E28" s="106">
        <v>4</v>
      </c>
      <c r="F28" s="108">
        <v>3</v>
      </c>
    </row>
    <row r="29" spans="1:6" ht="12.75" customHeight="1" x14ac:dyDescent="0.2">
      <c r="A29" s="106">
        <v>0</v>
      </c>
      <c r="B29" s="107" t="s">
        <v>52</v>
      </c>
      <c r="C29" s="107" t="str">
        <f>IF(OR(B23="Yes",B24="Yes"),B15,"")</f>
        <v/>
      </c>
      <c r="D29" s="112">
        <v>0</v>
      </c>
      <c r="E29" s="106"/>
      <c r="F29" s="108"/>
    </row>
    <row r="30" spans="1:6" ht="12.75" customHeight="1" x14ac:dyDescent="0.2">
      <c r="A30" s="106">
        <v>1</v>
      </c>
      <c r="B30" s="107" t="s">
        <v>152</v>
      </c>
      <c r="C30" s="107"/>
      <c r="D30" s="112">
        <v>13.5</v>
      </c>
      <c r="E30" s="106"/>
      <c r="F30" s="108"/>
    </row>
    <row r="31" spans="1:6" ht="12.75" customHeight="1" x14ac:dyDescent="0.2">
      <c r="A31" s="106">
        <v>2</v>
      </c>
      <c r="B31" s="107" t="s">
        <v>153</v>
      </c>
      <c r="C31" s="107" t="str">
        <f>IF(OR(B25="Yes",B26="Yes"),B17,"")</f>
        <v/>
      </c>
      <c r="D31" s="112">
        <v>23.5</v>
      </c>
    </row>
    <row r="32" spans="1:6" ht="12.75" customHeight="1" x14ac:dyDescent="0.2">
      <c r="A32" s="106">
        <v>3</v>
      </c>
      <c r="B32" s="107" t="s">
        <v>154</v>
      </c>
      <c r="C32" s="107" t="str">
        <f>IF(OR(B25="Yes",B26="Yes"),B17,"")</f>
        <v/>
      </c>
      <c r="D32" s="112">
        <v>27.5</v>
      </c>
      <c r="E32" s="104"/>
      <c r="F32" s="105" t="s">
        <v>155</v>
      </c>
    </row>
    <row r="33" spans="1:6" ht="12.75" customHeight="1" x14ac:dyDescent="0.2">
      <c r="A33" s="106">
        <v>4</v>
      </c>
      <c r="B33" s="107" t="s">
        <v>156</v>
      </c>
      <c r="C33" s="107"/>
      <c r="D33" s="112">
        <v>23.5</v>
      </c>
      <c r="E33" s="106">
        <v>1</v>
      </c>
      <c r="F33" s="108">
        <v>0</v>
      </c>
    </row>
    <row r="34" spans="1:6" ht="12.75" customHeight="1" x14ac:dyDescent="0.2">
      <c r="A34" s="106">
        <v>5</v>
      </c>
      <c r="B34" s="107" t="s">
        <v>157</v>
      </c>
      <c r="C34" s="107" t="str">
        <f>IF(OR(B18="Yes",B19="Yes"),B10,"")</f>
        <v/>
      </c>
      <c r="D34" s="112">
        <v>23.5</v>
      </c>
      <c r="E34" s="106">
        <v>2</v>
      </c>
      <c r="F34" s="108">
        <v>1</v>
      </c>
    </row>
    <row r="35" spans="1:6" ht="12.75" customHeight="1" x14ac:dyDescent="0.2">
      <c r="A35" s="106">
        <v>7</v>
      </c>
      <c r="B35" s="107" t="s">
        <v>158</v>
      </c>
      <c r="C35" s="107" t="str">
        <f>IF(OR(B17="Yes",B18="Yes"),B9,"")</f>
        <v/>
      </c>
      <c r="D35" s="112">
        <v>27.5</v>
      </c>
    </row>
    <row r="36" spans="1:6" ht="12.75" customHeight="1" x14ac:dyDescent="0.2">
      <c r="A36" s="106">
        <v>8</v>
      </c>
      <c r="B36" s="116" t="s">
        <v>174</v>
      </c>
      <c r="C36" s="107" t="str">
        <f>IF(OR(B22="Yes",B23="Yes"),B14,"")</f>
        <v/>
      </c>
      <c r="D36" s="112">
        <v>27.5</v>
      </c>
      <c r="E36" s="104"/>
      <c r="F36" s="105" t="s">
        <v>159</v>
      </c>
    </row>
    <row r="37" spans="1:6" x14ac:dyDescent="0.2">
      <c r="A37" s="106">
        <v>9</v>
      </c>
      <c r="B37" s="107" t="s">
        <v>160</v>
      </c>
      <c r="C37" s="107"/>
      <c r="D37" s="112">
        <v>29</v>
      </c>
      <c r="E37" s="106">
        <v>1</v>
      </c>
      <c r="F37" s="108" t="s">
        <v>25</v>
      </c>
    </row>
    <row r="38" spans="1:6" ht="12.75" customHeight="1" x14ac:dyDescent="0.2">
      <c r="A38" s="106">
        <v>11</v>
      </c>
      <c r="B38" s="116" t="s">
        <v>173</v>
      </c>
      <c r="C38" s="107" t="str">
        <f>IF(OR(B21="Yes",B22="Yes"),B13,"")</f>
        <v/>
      </c>
      <c r="D38" s="112">
        <v>41</v>
      </c>
      <c r="E38" s="106">
        <v>2</v>
      </c>
      <c r="F38" s="108">
        <v>1</v>
      </c>
    </row>
    <row r="39" spans="1:6" x14ac:dyDescent="0.2">
      <c r="E39" s="106">
        <v>3</v>
      </c>
      <c r="F39" s="108">
        <v>2</v>
      </c>
    </row>
    <row r="40" spans="1:6" x14ac:dyDescent="0.2">
      <c r="A40" s="104"/>
      <c r="B40" s="104" t="s">
        <v>161</v>
      </c>
      <c r="C40" s="104"/>
      <c r="D40" s="104" t="s">
        <v>146</v>
      </c>
      <c r="E40" s="106">
        <v>4</v>
      </c>
      <c r="F40" s="108">
        <v>3</v>
      </c>
    </row>
    <row r="41" spans="1:6" ht="12.75" customHeight="1" x14ac:dyDescent="0.2">
      <c r="A41" s="106">
        <v>0</v>
      </c>
      <c r="B41" s="107" t="s">
        <v>51</v>
      </c>
      <c r="C41" s="107" t="e">
        <f>NA()</f>
        <v>#N/A</v>
      </c>
      <c r="D41" s="112">
        <v>0</v>
      </c>
      <c r="E41" s="106">
        <v>5</v>
      </c>
      <c r="F41" s="108">
        <v>4</v>
      </c>
    </row>
    <row r="42" spans="1:6" ht="12.75" customHeight="1" x14ac:dyDescent="0.2">
      <c r="A42" s="106">
        <v>1</v>
      </c>
      <c r="B42" s="107" t="s">
        <v>162</v>
      </c>
      <c r="C42" s="107" t="e">
        <f>NA()</f>
        <v>#N/A</v>
      </c>
      <c r="D42" s="112">
        <v>6</v>
      </c>
      <c r="E42" s="106">
        <v>6</v>
      </c>
      <c r="F42" s="108">
        <v>5</v>
      </c>
    </row>
    <row r="43" spans="1:6" ht="12.75" customHeight="1" x14ac:dyDescent="0.2">
      <c r="A43" s="106">
        <v>2</v>
      </c>
      <c r="B43" s="113" t="s">
        <v>50</v>
      </c>
      <c r="C43" s="114"/>
      <c r="D43" s="112">
        <v>7.5</v>
      </c>
    </row>
    <row r="44" spans="1:6" ht="12.75" customHeight="1" x14ac:dyDescent="0.2">
      <c r="A44" s="106">
        <v>3</v>
      </c>
      <c r="B44" s="113" t="s">
        <v>163</v>
      </c>
      <c r="C44" s="114"/>
      <c r="D44" s="112">
        <v>19.5</v>
      </c>
    </row>
    <row r="45" spans="1:6" ht="12.75" customHeight="1" x14ac:dyDescent="0.2">
      <c r="A45" s="106">
        <v>4</v>
      </c>
      <c r="B45" s="113" t="s">
        <v>165</v>
      </c>
      <c r="C45" s="115"/>
      <c r="D45" s="112">
        <v>26</v>
      </c>
      <c r="E45" s="104"/>
      <c r="F45" s="105" t="s">
        <v>164</v>
      </c>
    </row>
    <row r="46" spans="1:6" ht="12.75" customHeight="1" x14ac:dyDescent="0.2">
      <c r="E46" s="106">
        <v>1</v>
      </c>
      <c r="F46" s="108">
        <v>0</v>
      </c>
    </row>
    <row r="47" spans="1:6" ht="12.75" customHeight="1" x14ac:dyDescent="0.2">
      <c r="A47" s="104"/>
      <c r="B47" s="138" t="s">
        <v>166</v>
      </c>
      <c r="C47" s="138"/>
      <c r="D47" s="138"/>
      <c r="E47" s="106">
        <v>2</v>
      </c>
      <c r="F47" s="108">
        <v>1</v>
      </c>
    </row>
    <row r="48" spans="1:6" ht="12.75" customHeight="1" x14ac:dyDescent="0.2">
      <c r="A48" s="106">
        <v>0</v>
      </c>
      <c r="B48" s="139" t="s">
        <v>25</v>
      </c>
      <c r="C48" s="139"/>
      <c r="D48" s="139"/>
      <c r="E48" s="106">
        <v>3</v>
      </c>
      <c r="F48" s="108">
        <v>2</v>
      </c>
    </row>
    <row r="49" spans="1:6" ht="12.75" customHeight="1" x14ac:dyDescent="0.2">
      <c r="A49" s="106">
        <v>1</v>
      </c>
      <c r="B49" s="107" t="s">
        <v>167</v>
      </c>
      <c r="C49" s="107"/>
      <c r="D49" s="107"/>
      <c r="E49" s="106">
        <v>4</v>
      </c>
      <c r="F49" s="108">
        <v>3</v>
      </c>
    </row>
    <row r="50" spans="1:6" ht="12.75" customHeight="1" x14ac:dyDescent="0.2">
      <c r="A50" s="106">
        <v>2</v>
      </c>
      <c r="B50" s="116" t="s">
        <v>168</v>
      </c>
      <c r="C50" s="116"/>
      <c r="D50" s="116"/>
    </row>
    <row r="51" spans="1:6" ht="12.75" customHeight="1" x14ac:dyDescent="0.2">
      <c r="A51" s="106">
        <v>3</v>
      </c>
      <c r="B51" s="116" t="s">
        <v>170</v>
      </c>
      <c r="C51" s="116"/>
      <c r="D51" s="116"/>
      <c r="E51" s="104"/>
      <c r="F51" s="105" t="s">
        <v>169</v>
      </c>
    </row>
    <row r="52" spans="1:6" ht="12.75" customHeight="1" x14ac:dyDescent="0.2">
      <c r="A52" s="106">
        <v>4</v>
      </c>
      <c r="B52" s="139" t="s">
        <v>171</v>
      </c>
      <c r="C52" s="139"/>
      <c r="D52" s="139"/>
      <c r="E52" s="106">
        <v>1</v>
      </c>
      <c r="F52" s="108">
        <v>0</v>
      </c>
    </row>
    <row r="53" spans="1:6" ht="12.75" customHeight="1" x14ac:dyDescent="0.2">
      <c r="E53" s="106">
        <v>2</v>
      </c>
      <c r="F53" s="108">
        <v>1</v>
      </c>
    </row>
    <row r="54" spans="1:6" ht="12.75" customHeight="1" x14ac:dyDescent="0.2">
      <c r="A54" s="106">
        <v>1</v>
      </c>
      <c r="B54" s="113" t="s">
        <v>42</v>
      </c>
      <c r="C54" s="114"/>
      <c r="D54" s="112">
        <v>100</v>
      </c>
      <c r="E54" s="106">
        <v>3</v>
      </c>
      <c r="F54" s="108">
        <v>2</v>
      </c>
    </row>
    <row r="55" spans="1:6" ht="12.75" customHeight="1" x14ac:dyDescent="0.2">
      <c r="B55" s="1" t="s">
        <v>172</v>
      </c>
      <c r="E55" s="106">
        <v>4</v>
      </c>
      <c r="F55" s="108">
        <v>3</v>
      </c>
    </row>
    <row r="56" spans="1:6" ht="12.75" customHeight="1" x14ac:dyDescent="0.2">
      <c r="E56" s="106">
        <v>5</v>
      </c>
      <c r="F56" s="108">
        <v>4</v>
      </c>
    </row>
  </sheetData>
  <sheetProtection selectLockedCells="1" selectUnlockedCells="1"/>
  <mergeCells count="3">
    <mergeCell ref="B47:D47"/>
    <mergeCell ref="B48:D48"/>
    <mergeCell ref="B52:D52"/>
  </mergeCells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32</vt:i4>
      </vt:variant>
    </vt:vector>
  </HeadingPairs>
  <TitlesOfParts>
    <vt:vector size="35" baseType="lpstr">
      <vt:lpstr>Simple Gatherings</vt:lpstr>
      <vt:lpstr>Rentals</vt:lpstr>
      <vt:lpstr>Data</vt:lpstr>
      <vt:lpstr>______xlnm.Print_Titles</vt:lpstr>
      <vt:lpstr>_____xlnm.Print_Titles</vt:lpstr>
      <vt:lpstr>____xlnm.Print_Titles</vt:lpstr>
      <vt:lpstr>___xlnm.Print_Titles</vt:lpstr>
      <vt:lpstr>__xlnm.Print_Titles</vt:lpstr>
      <vt:lpstr>_Max1</vt:lpstr>
      <vt:lpstr>_Max2</vt:lpstr>
      <vt:lpstr>_Max3</vt:lpstr>
      <vt:lpstr>_Max4</vt:lpstr>
      <vt:lpstr>AdditionalChoices</vt:lpstr>
      <vt:lpstr>Appetizer_Prices</vt:lpstr>
      <vt:lpstr>Appetizers</vt:lpstr>
      <vt:lpstr>Choc_Fountain</vt:lpstr>
      <vt:lpstr>Day_or_Evening</vt:lpstr>
      <vt:lpstr>Desert_Option</vt:lpstr>
      <vt:lpstr>Excel_BuiltIn_Print_Titles_1</vt:lpstr>
      <vt:lpstr>Excel_BuiltIn_Print_Titles_1_1</vt:lpstr>
      <vt:lpstr>Fire_Pit</vt:lpstr>
      <vt:lpstr>Length_of_Event</vt:lpstr>
      <vt:lpstr>Length_of_Event_1</vt:lpstr>
      <vt:lpstr>Length_of_Event_2</vt:lpstr>
      <vt:lpstr>Meal_Options</vt:lpstr>
      <vt:lpstr>Meal_Options_1</vt:lpstr>
      <vt:lpstr>Meal_Prices</vt:lpstr>
      <vt:lpstr>Payment_Type</vt:lpstr>
      <vt:lpstr>'Simple Gatherings'!Print_Area</vt:lpstr>
      <vt:lpstr>'Simple Gatherings'!Print_Titles</vt:lpstr>
      <vt:lpstr>SplitDay</vt:lpstr>
      <vt:lpstr>Tents</vt:lpstr>
      <vt:lpstr>TimeofDay</vt:lpstr>
      <vt:lpstr>Type_of_Event</vt:lpstr>
      <vt:lpstr>Yes_No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Beth and Randy</dc:creator>
  <cp:lastModifiedBy>Randy</cp:lastModifiedBy>
  <dcterms:created xsi:type="dcterms:W3CDTF">2014-03-25T00:40:01Z</dcterms:created>
  <dcterms:modified xsi:type="dcterms:W3CDTF">2014-06-12T20:40:33Z</dcterms:modified>
</cp:coreProperties>
</file>